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Economo\Desktop\"/>
    </mc:Choice>
  </mc:AlternateContent>
  <xr:revisionPtr revIDLastSave="0" documentId="8_{F9BA6B93-04EE-4742-BC4B-7B4C3FE1B3C9}" xr6:coauthVersionLast="47" xr6:coauthVersionMax="47" xr10:uidLastSave="{00000000-0000-0000-0000-000000000000}"/>
  <bookViews>
    <workbookView xWindow="-108" yWindow="-108" windowWidth="23256" windowHeight="12576" tabRatio="598"/>
  </bookViews>
  <sheets>
    <sheet name="Ingresos" sheetId="22" r:id="rId1"/>
    <sheet name="Resumen Ingresos" sheetId="17" r:id="rId2"/>
    <sheet name="Estadísiticas Ingresos" sheetId="19" r:id="rId3"/>
    <sheet name="Gastos " sheetId="2" r:id="rId4"/>
    <sheet name="Resumen Gastos" sheetId="20" r:id="rId5"/>
    <sheet name="Estadísiticas Gastos" sheetId="21" r:id="rId6"/>
    <sheet name="Datos Gráficos" sheetId="18" r:id="rId7"/>
    <sheet name="Secretariados" sheetId="23" r:id="rId8"/>
  </sheets>
  <definedNames>
    <definedName name="_xlnm.Print_Titles" localSheetId="3">'Gastos '!$6:$7</definedName>
    <definedName name="_xlnm.Print_Titles" localSheetId="0">Ingresos!$7:$8</definedName>
  </definedNames>
  <calcPr calcId="191029" fullCalcOnLoad="1"/>
</workbook>
</file>

<file path=xl/calcChain.xml><?xml version="1.0" encoding="utf-8"?>
<calcChain xmlns="http://schemas.openxmlformats.org/spreadsheetml/2006/main">
  <c r="G128" i="2" l="1"/>
  <c r="G130" i="2"/>
  <c r="G92" i="2"/>
  <c r="G46" i="2"/>
  <c r="G74" i="2"/>
  <c r="G68" i="2" s="1"/>
  <c r="G112" i="2"/>
  <c r="G142" i="2"/>
  <c r="G104" i="2"/>
  <c r="G70" i="2"/>
  <c r="G152" i="2"/>
  <c r="G134" i="2"/>
  <c r="G133" i="2"/>
  <c r="G126" i="2"/>
  <c r="G122" i="2"/>
  <c r="G121" i="2"/>
  <c r="G119" i="2" s="1"/>
  <c r="G120" i="2"/>
  <c r="G118" i="2"/>
  <c r="G117" i="2"/>
  <c r="G115" i="2"/>
  <c r="G111" i="2"/>
  <c r="G110" i="2" s="1"/>
  <c r="G108" i="2" s="1"/>
  <c r="C14" i="20" s="1"/>
  <c r="B23" i="18" s="1"/>
  <c r="G97" i="2"/>
  <c r="G96" i="2"/>
  <c r="G91" i="2"/>
  <c r="G87" i="2"/>
  <c r="G84" i="2" s="1"/>
  <c r="C11" i="20" s="1"/>
  <c r="B20" i="18" s="1"/>
  <c r="G79" i="2"/>
  <c r="G78" i="2"/>
  <c r="G77" i="2"/>
  <c r="G76" i="2"/>
  <c r="G60" i="2"/>
  <c r="G51" i="2"/>
  <c r="G49" i="2"/>
  <c r="G48" i="2"/>
  <c r="G47" i="2"/>
  <c r="G28" i="2"/>
  <c r="G17" i="2" s="1"/>
  <c r="G8" i="2" s="1"/>
  <c r="G63" i="22"/>
  <c r="G57" i="22"/>
  <c r="G50" i="22" s="1"/>
  <c r="G52" i="22"/>
  <c r="G48" i="22"/>
  <c r="G38" i="22"/>
  <c r="G32" i="22"/>
  <c r="G21" i="22"/>
  <c r="G17" i="22"/>
  <c r="G9" i="22" s="1"/>
  <c r="C10" i="17" s="1"/>
  <c r="G15" i="22"/>
  <c r="G11" i="22"/>
  <c r="I114" i="2"/>
  <c r="I110" i="2" s="1"/>
  <c r="I108" i="2" s="1"/>
  <c r="D14" i="20" s="1"/>
  <c r="I102" i="2"/>
  <c r="I94" i="2"/>
  <c r="D12" i="20"/>
  <c r="C142" i="2"/>
  <c r="C141" i="2"/>
  <c r="C134" i="2"/>
  <c r="C133" i="2"/>
  <c r="C130" i="2"/>
  <c r="C128" i="2"/>
  <c r="C126" i="2"/>
  <c r="C122" i="2"/>
  <c r="C121" i="2"/>
  <c r="C119" i="2" s="1"/>
  <c r="C120" i="2"/>
  <c r="C118" i="2"/>
  <c r="C117" i="2"/>
  <c r="C114" i="2"/>
  <c r="C110" i="2" s="1"/>
  <c r="C108" i="2" s="1"/>
  <c r="C111" i="2"/>
  <c r="C104" i="2"/>
  <c r="C99" i="2"/>
  <c r="C97" i="2"/>
  <c r="C94" i="2" s="1"/>
  <c r="C96" i="2"/>
  <c r="C91" i="2"/>
  <c r="C87" i="2"/>
  <c r="C79" i="2"/>
  <c r="C78" i="2"/>
  <c r="C77" i="2"/>
  <c r="C76" i="2"/>
  <c r="C74" i="2"/>
  <c r="C68" i="2" s="1"/>
  <c r="C70" i="2"/>
  <c r="C51" i="2"/>
  <c r="C49" i="2"/>
  <c r="C48" i="2"/>
  <c r="C47" i="2"/>
  <c r="C46" i="2"/>
  <c r="C34" i="2"/>
  <c r="C28" i="2"/>
  <c r="C17" i="2" s="1"/>
  <c r="C8" i="2" s="1"/>
  <c r="C136" i="2" s="1"/>
  <c r="C155" i="2" s="1"/>
  <c r="C68" i="22"/>
  <c r="C57" i="22"/>
  <c r="C48" i="22"/>
  <c r="C38" i="22"/>
  <c r="C32" i="22"/>
  <c r="C30" i="22" s="1"/>
  <c r="C58" i="22" s="1"/>
  <c r="C72" i="22" s="1"/>
  <c r="C25" i="22"/>
  <c r="C21" i="22"/>
  <c r="C15" i="22"/>
  <c r="E139" i="2"/>
  <c r="E119" i="2"/>
  <c r="E110" i="2"/>
  <c r="E108" i="2" s="1"/>
  <c r="E99" i="2"/>
  <c r="E94" i="2"/>
  <c r="E84" i="2"/>
  <c r="E68" i="2"/>
  <c r="E62" i="2"/>
  <c r="E53" i="2"/>
  <c r="E17" i="2"/>
  <c r="E10" i="2"/>
  <c r="E60" i="22"/>
  <c r="E50" i="22"/>
  <c r="E30" i="22"/>
  <c r="E23" i="22"/>
  <c r="E58" i="22"/>
  <c r="E72" i="22" s="1"/>
  <c r="E9" i="22"/>
  <c r="Q77" i="2"/>
  <c r="G99" i="2"/>
  <c r="C13" i="20"/>
  <c r="J9" i="22"/>
  <c r="D10" i="17" s="1"/>
  <c r="C23" i="22"/>
  <c r="C9" i="22"/>
  <c r="I139" i="2"/>
  <c r="D15" i="20"/>
  <c r="J60" i="22"/>
  <c r="D14" i="17"/>
  <c r="F14" i="17" s="1"/>
  <c r="G14" i="17" s="1"/>
  <c r="I17" i="2"/>
  <c r="C62" i="2"/>
  <c r="G36" i="23"/>
  <c r="G7" i="23"/>
  <c r="C36" i="23"/>
  <c r="G18" i="23"/>
  <c r="C18" i="23"/>
  <c r="C11" i="23"/>
  <c r="C7" i="23" s="1"/>
  <c r="I7" i="23"/>
  <c r="E7" i="23"/>
  <c r="C10" i="2"/>
  <c r="C53" i="2"/>
  <c r="C50" i="22"/>
  <c r="C60" i="22"/>
  <c r="I119" i="2"/>
  <c r="G10" i="2"/>
  <c r="G53" i="2"/>
  <c r="G62" i="2"/>
  <c r="I99" i="2"/>
  <c r="D13" i="20"/>
  <c r="C22" i="18"/>
  <c r="J23" i="22"/>
  <c r="D11" i="17" s="1"/>
  <c r="J30" i="22"/>
  <c r="D12" i="17"/>
  <c r="J50" i="22"/>
  <c r="D13" i="17" s="1"/>
  <c r="G23" i="22"/>
  <c r="C11" i="17"/>
  <c r="B4" i="18" s="1"/>
  <c r="G30" i="22"/>
  <c r="C12" i="17" s="1"/>
  <c r="B5" i="18" s="1"/>
  <c r="G60" i="22"/>
  <c r="C14" i="17"/>
  <c r="I84" i="2"/>
  <c r="D11" i="20" s="1"/>
  <c r="I10" i="2"/>
  <c r="I53" i="2"/>
  <c r="I62" i="2"/>
  <c r="I68" i="2"/>
  <c r="C139" i="2"/>
  <c r="G94" i="2"/>
  <c r="C12" i="20" s="1"/>
  <c r="C84" i="2"/>
  <c r="G139" i="2"/>
  <c r="C15" i="20" s="1"/>
  <c r="E8" i="2"/>
  <c r="E136" i="2" s="1"/>
  <c r="E155" i="2" s="1"/>
  <c r="B29" i="18"/>
  <c r="C21" i="18"/>
  <c r="B7" i="18"/>
  <c r="I8" i="2"/>
  <c r="D10" i="20" s="1"/>
  <c r="B30" i="18"/>
  <c r="F13" i="20"/>
  <c r="G13" i="20" s="1"/>
  <c r="B22" i="18"/>
  <c r="B32" i="18"/>
  <c r="C24" i="18"/>
  <c r="C5" i="18"/>
  <c r="B13" i="18"/>
  <c r="C4" i="18" l="1"/>
  <c r="B12" i="18" s="1"/>
  <c r="F11" i="17"/>
  <c r="G11" i="17" s="1"/>
  <c r="C6" i="18"/>
  <c r="B14" i="18" s="1"/>
  <c r="C23" i="18"/>
  <c r="F14" i="20"/>
  <c r="G14" i="20" s="1"/>
  <c r="B31" i="18"/>
  <c r="D15" i="17"/>
  <c r="F10" i="17"/>
  <c r="C3" i="18"/>
  <c r="B3" i="18"/>
  <c r="F15" i="20"/>
  <c r="G15" i="20" s="1"/>
  <c r="B24" i="18"/>
  <c r="G58" i="22"/>
  <c r="G72" i="22" s="1"/>
  <c r="C13" i="17"/>
  <c r="B6" i="18" s="1"/>
  <c r="G136" i="2"/>
  <c r="G155" i="2" s="1"/>
  <c r="C10" i="20"/>
  <c r="F12" i="17"/>
  <c r="G12" i="17" s="1"/>
  <c r="F10" i="20"/>
  <c r="C19" i="18"/>
  <c r="C25" i="18" s="1"/>
  <c r="B27" i="18"/>
  <c r="D16" i="20"/>
  <c r="F12" i="20"/>
  <c r="G12" i="20" s="1"/>
  <c r="B21" i="18"/>
  <c r="C20" i="18"/>
  <c r="B28" i="18"/>
  <c r="F11" i="20"/>
  <c r="G11" i="20" s="1"/>
  <c r="J58" i="22"/>
  <c r="J72" i="22" s="1"/>
  <c r="C7" i="18"/>
  <c r="B15" i="18" s="1"/>
  <c r="I136" i="2"/>
  <c r="I155" i="2" s="1"/>
  <c r="F16" i="20" l="1"/>
  <c r="G10" i="20"/>
  <c r="B8" i="18"/>
  <c r="C15" i="17"/>
  <c r="F13" i="17"/>
  <c r="G13" i="17" s="1"/>
  <c r="B33" i="18"/>
  <c r="B19" i="18"/>
  <c r="B25" i="18" s="1"/>
  <c r="C16" i="20"/>
  <c r="B11" i="18"/>
  <c r="C8" i="18"/>
  <c r="G10" i="17"/>
  <c r="F15" i="17"/>
  <c r="G15" i="17" s="1"/>
  <c r="C32" i="18" l="1"/>
  <c r="B37" i="18"/>
  <c r="C37" i="18" s="1"/>
  <c r="C29" i="18"/>
  <c r="C30" i="18"/>
  <c r="B16" i="18"/>
  <c r="C11" i="18" s="1"/>
  <c r="C27" i="18"/>
  <c r="C31" i="18"/>
  <c r="C28" i="18"/>
  <c r="G16" i="20"/>
  <c r="B36" i="18" l="1"/>
  <c r="C13" i="18"/>
  <c r="C15" i="18"/>
  <c r="C12" i="18"/>
  <c r="C14" i="18"/>
  <c r="C36" i="18" l="1"/>
  <c r="B38" i="18"/>
  <c r="C38" i="18" s="1"/>
</calcChain>
</file>

<file path=xl/sharedStrings.xml><?xml version="1.0" encoding="utf-8"?>
<sst xmlns="http://schemas.openxmlformats.org/spreadsheetml/2006/main" count="312" uniqueCount="236">
  <si>
    <t xml:space="preserve">   1. ACCIONES PASTORALES Y ASISTENCIALES</t>
  </si>
  <si>
    <t xml:space="preserve">   1.1. Vicarías</t>
  </si>
  <si>
    <t xml:space="preserve">   1.3. Organismos de Corresponsabilidad</t>
  </si>
  <si>
    <t xml:space="preserve">   1.4. Ayuda a la Iglesia Universal</t>
  </si>
  <si>
    <t xml:space="preserve">   1.5. Varios</t>
  </si>
  <si>
    <t xml:space="preserve">   2. RETRIBUCIÓN DEL CLERO Y OTRO PERSONAL RESPONS. PASTORAL</t>
  </si>
  <si>
    <t xml:space="preserve">   4. APORTACIÓN A LOS CENTROS DE FORMACIÓN</t>
  </si>
  <si>
    <t xml:space="preserve">   5.1. Conservación de edificios</t>
  </si>
  <si>
    <t xml:space="preserve">   5.2. Gastos de Funcionamiento</t>
  </si>
  <si>
    <t xml:space="preserve">   6. GASTOS EXTRAORDINARIOS</t>
  </si>
  <si>
    <t xml:space="preserve"> </t>
  </si>
  <si>
    <t xml:space="preserve">   1. APORTACIONES VOLUNTARIAS DE LOS FIELES</t>
  </si>
  <si>
    <t xml:space="preserve">   3. INGRESOS DE PATRIMONIO Y OTRAS ACTIVIDADES</t>
  </si>
  <si>
    <t xml:space="preserve">   4. INGRESOS DIVERSOS</t>
  </si>
  <si>
    <t xml:space="preserve">   5. INGRESOS EXTRAORDINARIOS</t>
  </si>
  <si>
    <t>DIÓCESIS DE CANARIAS</t>
  </si>
  <si>
    <t xml:space="preserve">   2. APORTAC. VOLUNTARIAS POR ASIGNACIÓN TRIBUTARIA</t>
  </si>
  <si>
    <t xml:space="preserve">   5. CONSERVACIÓN DE EDIF. Y GTOS. DE  FUNCIONAMIENTO</t>
  </si>
  <si>
    <t xml:space="preserve">           CAPITULO DE INGRESOS</t>
  </si>
  <si>
    <t>DIFERENCIA</t>
  </si>
  <si>
    <t>%</t>
  </si>
  <si>
    <t>Presupuestos</t>
  </si>
  <si>
    <t>Desviación</t>
  </si>
  <si>
    <t xml:space="preserve">   2. APORTACIONES VOLUNTARIAS POR ASIGNACIÓN TRIBUTARIA</t>
  </si>
  <si>
    <t xml:space="preserve">   TOTAL GENERAL</t>
  </si>
  <si>
    <t>Presupuesto</t>
  </si>
  <si>
    <t xml:space="preserve">                 VALOR EN EUROS</t>
  </si>
  <si>
    <t xml:space="preserve">DIÓCESIS DE CANARIAS </t>
  </si>
  <si>
    <t>Administración Diocesana</t>
  </si>
  <si>
    <t xml:space="preserve">   1. Aportac. Voluntaria de los Fieles </t>
  </si>
  <si>
    <t xml:space="preserve">   2. Aportación Voluntaria por Asignación Tributaria </t>
  </si>
  <si>
    <t xml:space="preserve">   3. Ingresos de Patrimonio y Otras Actividades </t>
  </si>
  <si>
    <t xml:space="preserve">   4. Ingresos Diversos </t>
  </si>
  <si>
    <t xml:space="preserve">   5. Ingresos Extraordinarios</t>
  </si>
  <si>
    <t>CAPÍTULO DE INGRESOS</t>
  </si>
  <si>
    <t xml:space="preserve">           CAPITULO DE GASTOS</t>
  </si>
  <si>
    <t xml:space="preserve">                VALOR EN EUROS</t>
  </si>
  <si>
    <t xml:space="preserve">   1. ACCIONES PASTORALES Y ASISTENCIALES </t>
  </si>
  <si>
    <t xml:space="preserve">   2. RETRIBUCIÓN DEL CLERO Y OTRO PERSONAL DE RESP.PASTORAL</t>
  </si>
  <si>
    <t xml:space="preserve">   3. RETRIBUCIÓN SEGLARES</t>
  </si>
  <si>
    <t>INGRESOS</t>
  </si>
  <si>
    <t xml:space="preserve">Acciones Pastorales y Asistenciales </t>
  </si>
  <si>
    <t>Retribución Clero y Otro Personal Respons. Pastoral</t>
  </si>
  <si>
    <t xml:space="preserve">Retribución Seglares </t>
  </si>
  <si>
    <t>Aportación a los Centros de Formación</t>
  </si>
  <si>
    <t xml:space="preserve">Gastos Extraordinarios </t>
  </si>
  <si>
    <t>CAPÍTULO DE GASTOS</t>
  </si>
  <si>
    <t>Datos Estadísticos</t>
  </si>
  <si>
    <t>RESUMEN COMPARATIVO - CAPÍTULOS DE INGRESOS</t>
  </si>
  <si>
    <t xml:space="preserve">   5. CONSERVACIÓN EDIFICIOS  Y GASTOS DE FUNCIONAMIENTO </t>
  </si>
  <si>
    <t>RESUMEN COMPARATIVO - CAPÍTULOS DE GASTOS</t>
  </si>
  <si>
    <t>TOTAL PRESUPUESTO INGRESOS</t>
  </si>
  <si>
    <t>TOTAL PRESUPUESTO GASTOS</t>
  </si>
  <si>
    <t>Resumen General</t>
  </si>
  <si>
    <t xml:space="preserve">   1.2. Secretariados, Delegaciones, Movimientos…</t>
  </si>
  <si>
    <t xml:space="preserve">Conserv. Edificios y Gtos. de Funcionamiento </t>
  </si>
  <si>
    <t>2.4.     C.E.E. Seguros  Sociales Clero</t>
  </si>
  <si>
    <t>2.1.     Conferencia Episcopal Española</t>
  </si>
  <si>
    <t>2.2.     Insularidad A</t>
  </si>
  <si>
    <t>2.3.     Insularidad B</t>
  </si>
  <si>
    <t>3.2.    Intereses Cuentas Corrientes</t>
  </si>
  <si>
    <t>3.3.    Dividendos de la COPE</t>
  </si>
  <si>
    <t>3.5.    Canon garajes Vega S. José</t>
  </si>
  <si>
    <t>4.3.    Aportación COPE - Complemento Nóminas</t>
  </si>
  <si>
    <t xml:space="preserve">   TOTAL INGRESOS ORDINARIOS….................</t>
  </si>
  <si>
    <t xml:space="preserve">   TOTAL GENERAL………….................…..</t>
  </si>
  <si>
    <t xml:space="preserve">   TOTAL GASTOS ORDINARIOS ……..........……………………</t>
  </si>
  <si>
    <t xml:space="preserve">   TOTAL GENERAL……………..…………</t>
  </si>
  <si>
    <t>4.1.    Devolución de préstamos personales y parroquiales</t>
  </si>
  <si>
    <t xml:space="preserve">   3. RETRIBUCIÓN DE SEGLARES (OBISPADO)</t>
  </si>
  <si>
    <t>1.1.        Vicaría General</t>
  </si>
  <si>
    <t>1.2.        Vicaría Judicial</t>
  </si>
  <si>
    <t>1.3.        Vicaría de Las Palmas de Gran Canaria</t>
  </si>
  <si>
    <t>1.4.        Vicaría Centro - Norte</t>
  </si>
  <si>
    <t>1.5.        Vicaría Sur</t>
  </si>
  <si>
    <t>1.5.1.    Publicaciones</t>
  </si>
  <si>
    <t>2.1.       Retribución del Clero</t>
  </si>
  <si>
    <t>2.2.       Religiosos y Otro personal de Resp. Pastoral</t>
  </si>
  <si>
    <t>2.3.       Complementos a Sacerdotes Jubilados</t>
  </si>
  <si>
    <t>3.1.       Nómina Seglares</t>
  </si>
  <si>
    <t>3.2.       Seguridad Social Seglares</t>
  </si>
  <si>
    <t xml:space="preserve">4.1.       ISTIC </t>
  </si>
  <si>
    <t>4.2.       Colegio Español en Roma</t>
  </si>
  <si>
    <t>4.3.       Complementos de formación</t>
  </si>
  <si>
    <t xml:space="preserve">4.4.       Archivo Histórico Diocesano </t>
  </si>
  <si>
    <t xml:space="preserve">5.1.1.    Reparaciones ordinarias </t>
  </si>
  <si>
    <t>5.1.2.    Seguros incendios y responsabilidad civil</t>
  </si>
  <si>
    <t>5.1.3.    Ayudas a Parroquias</t>
  </si>
  <si>
    <t>5.1.4.    Préstamos a Parroquias</t>
  </si>
  <si>
    <t>5.1.5.    Estudio y Catalogación del Patrimonio Diocesano</t>
  </si>
  <si>
    <t>5.1.6.    Conservación Patrimonio Histórico</t>
  </si>
  <si>
    <t>5.2.1.    Reparación, Conservación y Mantenimiento</t>
  </si>
  <si>
    <t>5.2.2.    Servicios Bancarios y Similares</t>
  </si>
  <si>
    <t>5.2.4.    Material de Oficina</t>
  </si>
  <si>
    <t>5.2.5.    Material de Limpieza</t>
  </si>
  <si>
    <t>5.2.6.    Correspondencia</t>
  </si>
  <si>
    <t>5.2.7.    Teléfonos y Fax</t>
  </si>
  <si>
    <t>5.2.8.    Revistas y Periódicos</t>
  </si>
  <si>
    <t>5.2.9.    Imprevistos</t>
  </si>
  <si>
    <t>5.2.10.  Tributos</t>
  </si>
  <si>
    <t>5.2.12.  Mobiliario</t>
  </si>
  <si>
    <t>6.1.       Reparaciones extraordinarias</t>
  </si>
  <si>
    <t>Consolidado</t>
  </si>
  <si>
    <t xml:space="preserve">5.1.7.    Amortización de créditos </t>
  </si>
  <si>
    <t>5.2.11.  Vehículos (Mantenimiento / Gasolina)</t>
  </si>
  <si>
    <t>1.3.1.    Consejo Pastoral Diocesano</t>
  </si>
  <si>
    <t>1.3.2.    Consejo Presbiteral</t>
  </si>
  <si>
    <t>1.3.4.    Consejo de Asuntos Económico Diocesano</t>
  </si>
  <si>
    <t>1.3.5.    Asesoramiento</t>
  </si>
  <si>
    <t>1.3.6.    Cabildo Catedral</t>
  </si>
  <si>
    <t>1.3.7.    Comisión Técnica</t>
  </si>
  <si>
    <t>1.3.8.    Otros gastos de administración</t>
  </si>
  <si>
    <t>1.6.        Plan Diocesano Pastoral</t>
  </si>
  <si>
    <t>5.2.3.    Suministros (Agua , Luz y Comunidad)</t>
  </si>
  <si>
    <t>ADMINISTRACIÓN DIOCESANA</t>
  </si>
  <si>
    <t xml:space="preserve">3.1.    Intereses Plazo Fijo </t>
  </si>
  <si>
    <t>3.13.  Ingresos Archivo Histórico Diocesano</t>
  </si>
  <si>
    <t>1.3.3.    Colegio de Arciprestes</t>
  </si>
  <si>
    <t>1.2.1.     Delegación para el Clero</t>
  </si>
  <si>
    <t>1.2.2.     Delegación de Apostolado Seglar</t>
  </si>
  <si>
    <t>1.2.3 .    Delegación de Vida Consagrada</t>
  </si>
  <si>
    <t>1.2.4.     Delegación de Patrimonio Histórico</t>
  </si>
  <si>
    <t>1.2.5.     Secretariado de Pastoral de la Carretera</t>
  </si>
  <si>
    <t>1.2.6.     Secretariado de Catequesis + Animación y tiempo libre</t>
  </si>
  <si>
    <t>1.2.7.     Secretariado de Ecumenismo</t>
  </si>
  <si>
    <t>1.2.8.     Secretariado de Liturgia</t>
  </si>
  <si>
    <t>1.2.9.     Secretariado de Medios de Comunicación</t>
  </si>
  <si>
    <t>1.2.10.   Secretariado de Misiones</t>
  </si>
  <si>
    <t>1.2.11.   Secretariado de Pastoral de Juventud</t>
  </si>
  <si>
    <t>1.2.12.   Secretariado de Pastoral de la Salud</t>
  </si>
  <si>
    <t>1.2.13.   Secretariado de Pastoral del Sordo</t>
  </si>
  <si>
    <t>1.2.14.   Secretariado de Pastoral del Mar</t>
  </si>
  <si>
    <t>1.2.15.   Secretariado de Pastoral Familiar</t>
  </si>
  <si>
    <t>1.2.16.   Secretariado de Pastoral Obrera</t>
  </si>
  <si>
    <t>1.2.17.   Secretariado de Pastoral Penitenciaria</t>
  </si>
  <si>
    <t>1.2.18.   Secretariado de Pastoral Vocacional</t>
  </si>
  <si>
    <t>1.2.19.   Secretariado de Pastoral de Turismo</t>
  </si>
  <si>
    <t>4.2.    Aportaciones Servicio Canario de Salud - Capellanes</t>
  </si>
  <si>
    <t xml:space="preserve">3.8.    Revista "Iglesia al Día" </t>
  </si>
  <si>
    <t>3.9.    Ingresos  Museo Diocesano Arte Sacro Gran Canaria</t>
  </si>
  <si>
    <t xml:space="preserve">3.12.  Ingresos Tribunal Eclesiástico </t>
  </si>
  <si>
    <t>3.6.    Canon garajes Santa Teresa del Niño Jesús</t>
  </si>
  <si>
    <t xml:space="preserve">3.10.  Ingresos  Museo Diocesano Arte Sacro Fuerteventura </t>
  </si>
  <si>
    <t>3.11.  Ingresos  Museo Diocesano Arte Sacro Lanzarote</t>
  </si>
  <si>
    <t xml:space="preserve">5.1.8.    Iglesia + Local Santo Hermano Pedro (Hipoteca) </t>
  </si>
  <si>
    <t>3.7.    Otros Alquileres</t>
  </si>
  <si>
    <t>PRESUPUESTO DIOCESANO</t>
  </si>
  <si>
    <t xml:space="preserve"> PRESUPUESTO DIOCESANO</t>
  </si>
  <si>
    <t>1.5.2.    Viajes</t>
  </si>
  <si>
    <t>1.5.3.    Préstamos personales</t>
  </si>
  <si>
    <t>1.5.4.    Campaña de financiación de la Iglesia</t>
  </si>
  <si>
    <t>1.5.5.    Campaña Declaración de la renta</t>
  </si>
  <si>
    <t>1.5.6.    Hogares Sacerdotales</t>
  </si>
  <si>
    <t>1.5.8.    Museo Diocesano  Arte Sacro -Gran Canaria-</t>
  </si>
  <si>
    <t>1.5.9.    Museo Diocesano Arte Sacro -Fuerteventura-</t>
  </si>
  <si>
    <t>1.5.10.  Museo Diocesano Arte Sacro -Lanzarote-</t>
  </si>
  <si>
    <t>4.4.    Aportación Convenio Telefónica</t>
  </si>
  <si>
    <t>4.5.    Tasas y Expedientes</t>
  </si>
  <si>
    <t>4.6.    Otros Ingresos</t>
  </si>
  <si>
    <t>1.2.20.   Secretariado de Pastoral Universitaria</t>
  </si>
  <si>
    <t xml:space="preserve">1.5.7.    Asuntos Jurídicos </t>
  </si>
  <si>
    <t>5.2.14.  Entrega de Alquileres de Parroquias</t>
  </si>
  <si>
    <t>5.1.    Subvenciones Explotación (P. Penitenciaria)</t>
  </si>
  <si>
    <t>6.2.       Subvenciones Explotación (P. Penitenciaria)</t>
  </si>
  <si>
    <t>5.2.15.  Otros gastos de funcionamiento</t>
  </si>
  <si>
    <t>1.4.1.    Aportación Diócesis Santa Sede - Canon 1271</t>
  </si>
  <si>
    <t>1.4.2.    Óbolo San Pedro - Colecta 29 de Junio</t>
  </si>
  <si>
    <t>1.4.3.    Fondo Nueva Evangelización</t>
  </si>
  <si>
    <t>1.4.4.    Aportación Diócesis al Fondo (C.E.E.)</t>
  </si>
  <si>
    <t>1.4.5.    Aportación Diócesis Cuota Misionera - Canon 791</t>
  </si>
  <si>
    <t xml:space="preserve">2.4.       Seguridad Social Clero </t>
  </si>
  <si>
    <t>2.5.       Seg. Social Religiosos y Otro Pers. Resp. Pastoral</t>
  </si>
  <si>
    <t xml:space="preserve">2.6.       Otras Ayudas </t>
  </si>
  <si>
    <t>2.7.       Fondo Solidario</t>
  </si>
  <si>
    <t>3.4.    Viviendas Radio Popular, S.A. (Cope)</t>
  </si>
  <si>
    <t>1.2.21.   Secretariado de Migraciones y Refugiados</t>
  </si>
  <si>
    <t>1.2.22.   Secretariado de Vida Ascendente</t>
  </si>
  <si>
    <t>1.2.23.   A.C. General de Adultos (ACGA)</t>
  </si>
  <si>
    <t>1.2.24.   Fraternidad C. De Enfermos (FRATER)</t>
  </si>
  <si>
    <t>1.2.25.   Hermandad Obrera de A.C. (HOAC)</t>
  </si>
  <si>
    <t>1.2.26.   Juventud Estudiante Católica (JEC)</t>
  </si>
  <si>
    <t>1.2.27.   Juventud Obrera Cristiana (JOC)</t>
  </si>
  <si>
    <t xml:space="preserve">1.2.28    Junior </t>
  </si>
  <si>
    <t>1.2.29.   Casa de la Iglesia</t>
  </si>
  <si>
    <t>1.2.30.   Centro Pastoral de Tafira</t>
  </si>
  <si>
    <t>1.2.31.   Delegación de Enseñanza</t>
  </si>
  <si>
    <t>1.2.32.   Diversos Acontecimientos Diocesanos</t>
  </si>
  <si>
    <t xml:space="preserve">1.2.34.   Secretaría General de Pastoral </t>
  </si>
  <si>
    <t>3.14.  Ingresos Hogar Sacerdotal</t>
  </si>
  <si>
    <t xml:space="preserve">1.5.11.  Revista Iglesia al Día </t>
  </si>
  <si>
    <t xml:space="preserve">1.5.12.  Tribunal Eclesiástico </t>
  </si>
  <si>
    <t>1.2.22.   Vida Ascendente</t>
  </si>
  <si>
    <t>3.15.  Radio Tamaraceite</t>
  </si>
  <si>
    <t xml:space="preserve">5.2.    Subvenciones Explotación (Secretariados y Delegaciones) </t>
  </si>
  <si>
    <t xml:space="preserve">1.2.33.   Secretaría General de Pastoral </t>
  </si>
  <si>
    <t>1.2.34.   Radio Tamaraceite</t>
  </si>
  <si>
    <t>1.2.35.   Otros gastos</t>
  </si>
  <si>
    <t>Presupuesto 2021</t>
  </si>
  <si>
    <t>1.4.    Aportación Nómina Clero</t>
  </si>
  <si>
    <t>1.5.    Colecta Diocesana</t>
  </si>
  <si>
    <t>1.6.    Suscripciones Diocesanas</t>
  </si>
  <si>
    <t>1.7.    Donativos</t>
  </si>
  <si>
    <t>1.8.    Misas y Binaciones</t>
  </si>
  <si>
    <t>1.9.    Óbolo San Pedro - Colecta 29 de Junio</t>
  </si>
  <si>
    <t>1.11.  Otros</t>
  </si>
  <si>
    <t>1.10.  Fondo Solidario</t>
  </si>
  <si>
    <t>1.2.    Ley de Rentas Eclesiásticas  (parroquias)</t>
  </si>
  <si>
    <t>5.2.13.  Quirón Prevención</t>
  </si>
  <si>
    <t>1.3.    Cuota Común Parroquial (otros org. diocesanos)</t>
  </si>
  <si>
    <t>1.5.14.  Cancillería y Secretaría</t>
  </si>
  <si>
    <t>1.5.13.  Palacio Epìscopal</t>
  </si>
  <si>
    <t>3.16.  Pastoral Penitenciaria</t>
  </si>
  <si>
    <t xml:space="preserve">3.17.  Otros </t>
  </si>
  <si>
    <t>Consolidado 2020 OFICIAL</t>
  </si>
  <si>
    <t>Presupuesto 2022</t>
  </si>
  <si>
    <r>
      <t xml:space="preserve">Consolidado 2021 </t>
    </r>
    <r>
      <rPr>
        <b/>
        <i/>
        <sz val="10"/>
        <rFont val="Arial"/>
        <family val="2"/>
      </rPr>
      <t>Provisional</t>
    </r>
    <r>
      <rPr>
        <b/>
        <sz val="10"/>
        <rFont val="Arial"/>
        <family val="2"/>
      </rPr>
      <t xml:space="preserve"> al 31 de diciembre </t>
    </r>
  </si>
  <si>
    <t>PRESUPUESTO 2022</t>
  </si>
  <si>
    <t>1.1.    Cuota Común Parroquial  (parroquias y cementerios)</t>
  </si>
  <si>
    <t xml:space="preserve">5.3.    Subvenciones Explotación (Parroquias) </t>
  </si>
  <si>
    <t>5.4.    Otras Subvenciones (Institutos Diocesanos)</t>
  </si>
  <si>
    <t>5.5.    C.E.E. - Devolución IGIC</t>
  </si>
  <si>
    <t>5.6.    Convenio Obra Social Bankia / P. Penitenciaria</t>
  </si>
  <si>
    <t>5.7 .   Otros Ingresos</t>
  </si>
  <si>
    <t>5.8.    Aportación Fondos Propios</t>
  </si>
  <si>
    <t>5.9     Necesidad de financiación</t>
  </si>
  <si>
    <t>6.3.       Subvenciones Explotación (Secretariados y Delegaciones)</t>
  </si>
  <si>
    <t>6.4.       Subvenciones Explotación (Institutos Diocesanos)</t>
  </si>
  <si>
    <t>6.5.       Subvenciones Explotación Parroquias</t>
  </si>
  <si>
    <t>6.6.       Rehabilitación Casa de la Iglesia</t>
  </si>
  <si>
    <t>6.7.       Obra Parcela Lomo Cementerio</t>
  </si>
  <si>
    <t>6.8.       C.E.E. - Devolución IGIC</t>
  </si>
  <si>
    <t>6.9.       Convenio Obra Social Bankia / P. Penitenciaria</t>
  </si>
  <si>
    <t>6.11.     Iglesia de Tarajalejo</t>
  </si>
  <si>
    <t xml:space="preserve">6.12.     Otros </t>
  </si>
  <si>
    <t>6.10.     Centro Pastoral Fuerteventura</t>
  </si>
  <si>
    <t>6.13      Capacidad de Financiación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</si>
</sst>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00%"/>
    <numFmt numFmtId="188" formatCode="_-* #,##0.00\ [$€]_-;\-* #,##0.00\ [$€]_-;_-* &quot;-&quot;??\ [$€]_-;_-@_-"/>
  </numFmts>
  <fonts count="52" x14ac:knownFonts="1">
    <font>
      <sz val="10"/>
      <name val="Arial"/>
    </font>
    <font>
      <sz val="10"/>
      <name val="Arial"/>
    </font>
    <font>
      <b/>
      <sz val="18"/>
      <color indexed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6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26"/>
      <color indexed="18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i/>
      <sz val="16"/>
      <name val="Arial"/>
      <family val="2"/>
    </font>
    <font>
      <sz val="14"/>
      <color indexed="10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i/>
      <sz val="11"/>
      <color indexed="10"/>
      <name val="Arial"/>
      <family val="2"/>
    </font>
    <font>
      <b/>
      <u/>
      <sz val="10"/>
      <name val="Arial"/>
      <family val="2"/>
    </font>
    <font>
      <b/>
      <sz val="14"/>
      <color indexed="10"/>
      <name val="Arial"/>
      <family val="2"/>
    </font>
    <font>
      <u/>
      <sz val="10"/>
      <color indexed="10"/>
      <name val="Arial"/>
      <family val="2"/>
    </font>
    <font>
      <u/>
      <sz val="13"/>
      <color indexed="10"/>
      <name val="Arial"/>
      <family val="2"/>
    </font>
    <font>
      <i/>
      <u/>
      <sz val="16"/>
      <color indexed="10"/>
      <name val="Arial"/>
      <family val="2"/>
    </font>
    <font>
      <b/>
      <u/>
      <sz val="12"/>
      <name val="Arial"/>
      <family val="2"/>
    </font>
    <font>
      <b/>
      <sz val="16"/>
      <color indexed="10"/>
      <name val="Arial"/>
      <family val="2"/>
    </font>
    <font>
      <b/>
      <i/>
      <sz val="14"/>
      <color indexed="18"/>
      <name val="Arial"/>
      <family val="2"/>
    </font>
    <font>
      <b/>
      <sz val="11"/>
      <color indexed="10"/>
      <name val="Arial"/>
      <family val="2"/>
    </font>
    <font>
      <i/>
      <sz val="9"/>
      <color indexed="18"/>
      <name val="Arial"/>
      <family val="2"/>
    </font>
    <font>
      <i/>
      <sz val="9"/>
      <color indexed="10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u/>
      <sz val="11"/>
      <color indexed="10"/>
      <name val="Arial"/>
      <family val="2"/>
    </font>
    <font>
      <sz val="10"/>
      <color indexed="10"/>
      <name val="Arial"/>
      <family val="2"/>
    </font>
    <font>
      <sz val="11"/>
      <color indexed="18"/>
      <name val="Arial"/>
      <family val="2"/>
    </font>
    <font>
      <b/>
      <i/>
      <sz val="14"/>
      <color indexed="10"/>
      <name val="Arial"/>
      <family val="2"/>
    </font>
    <font>
      <b/>
      <sz val="11.5"/>
      <name val="Arial"/>
      <family val="2"/>
    </font>
    <font>
      <b/>
      <i/>
      <sz val="10"/>
      <name val="Arial"/>
      <family val="2"/>
    </font>
    <font>
      <b/>
      <sz val="24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26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Fill="1"/>
    <xf numFmtId="0" fontId="7" fillId="0" borderId="1" xfId="0" applyFont="1" applyFill="1" applyBorder="1"/>
    <xf numFmtId="0" fontId="7" fillId="0" borderId="1" xfId="0" quotePrefix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/>
    <xf numFmtId="0" fontId="0" fillId="0" borderId="0" xfId="0" applyFill="1" applyBorder="1"/>
    <xf numFmtId="3" fontId="5" fillId="0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0" fontId="9" fillId="0" borderId="0" xfId="0" applyFont="1" applyFill="1"/>
    <xf numFmtId="0" fontId="12" fillId="0" borderId="0" xfId="0" applyFont="1" applyFill="1"/>
    <xf numFmtId="0" fontId="0" fillId="0" borderId="3" xfId="0" applyFill="1" applyBorder="1"/>
    <xf numFmtId="0" fontId="7" fillId="0" borderId="3" xfId="0" applyFont="1" applyFill="1" applyBorder="1"/>
    <xf numFmtId="0" fontId="7" fillId="0" borderId="4" xfId="0" applyFont="1" applyFill="1" applyBorder="1"/>
    <xf numFmtId="4" fontId="5" fillId="0" borderId="0" xfId="0" quotePrefix="1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0" fillId="0" borderId="0" xfId="0" applyNumberFormat="1"/>
    <xf numFmtId="4" fontId="5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0" fontId="11" fillId="0" borderId="0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left"/>
    </xf>
    <xf numFmtId="0" fontId="7" fillId="0" borderId="5" xfId="0" applyFont="1" applyFill="1" applyBorder="1"/>
    <xf numFmtId="0" fontId="7" fillId="0" borderId="6" xfId="0" quotePrefix="1" applyFont="1" applyFill="1" applyBorder="1" applyAlignment="1">
      <alignment horizontal="left"/>
    </xf>
    <xf numFmtId="3" fontId="3" fillId="0" borderId="7" xfId="0" applyNumberFormat="1" applyFont="1" applyFill="1" applyBorder="1" applyAlignment="1">
      <alignment horizontal="center"/>
    </xf>
    <xf numFmtId="0" fontId="6" fillId="0" borderId="4" xfId="0" quotePrefix="1" applyFont="1" applyFill="1" applyBorder="1" applyAlignment="1">
      <alignment horizontal="left"/>
    </xf>
    <xf numFmtId="0" fontId="7" fillId="0" borderId="8" xfId="0" applyFont="1" applyFill="1" applyBorder="1"/>
    <xf numFmtId="0" fontId="7" fillId="0" borderId="6" xfId="0" applyFont="1" applyFill="1" applyBorder="1"/>
    <xf numFmtId="0" fontId="7" fillId="0" borderId="9" xfId="0" applyFont="1" applyFill="1" applyBorder="1"/>
    <xf numFmtId="0" fontId="7" fillId="0" borderId="0" xfId="0" applyFont="1" applyFill="1" applyBorder="1"/>
    <xf numFmtId="0" fontId="5" fillId="0" borderId="0" xfId="0" quotePrefix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left"/>
    </xf>
    <xf numFmtId="0" fontId="6" fillId="0" borderId="3" xfId="0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/>
    </xf>
    <xf numFmtId="0" fontId="7" fillId="0" borderId="8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12" fillId="0" borderId="0" xfId="0" applyFont="1"/>
    <xf numFmtId="174" fontId="0" fillId="0" borderId="0" xfId="0" applyNumberFormat="1"/>
    <xf numFmtId="0" fontId="5" fillId="0" borderId="8" xfId="0" quotePrefix="1" applyFont="1" applyFill="1" applyBorder="1" applyAlignment="1">
      <alignment horizontal="left"/>
    </xf>
    <xf numFmtId="0" fontId="5" fillId="0" borderId="6" xfId="0" quotePrefix="1" applyFont="1" applyFill="1" applyBorder="1" applyAlignment="1">
      <alignment horizontal="left"/>
    </xf>
    <xf numFmtId="4" fontId="4" fillId="0" borderId="6" xfId="0" quotePrefix="1" applyNumberFormat="1" applyFont="1" applyFill="1" applyBorder="1" applyAlignment="1">
      <alignment horizontal="right"/>
    </xf>
    <xf numFmtId="4" fontId="4" fillId="0" borderId="9" xfId="0" quotePrefix="1" applyNumberFormat="1" applyFont="1" applyFill="1" applyBorder="1" applyAlignment="1">
      <alignment horizontal="right"/>
    </xf>
    <xf numFmtId="4" fontId="4" fillId="0" borderId="10" xfId="0" quotePrefix="1" applyNumberFormat="1" applyFont="1" applyFill="1" applyBorder="1" applyAlignment="1">
      <alignment horizontal="right"/>
    </xf>
    <xf numFmtId="4" fontId="4" fillId="0" borderId="11" xfId="0" quotePrefix="1" applyNumberFormat="1" applyFont="1" applyFill="1" applyBorder="1" applyAlignment="1">
      <alignment horizontal="right"/>
    </xf>
    <xf numFmtId="0" fontId="3" fillId="2" borderId="12" xfId="0" applyNumberFormat="1" applyFont="1" applyFill="1" applyBorder="1" applyAlignment="1">
      <alignment horizontal="center"/>
    </xf>
    <xf numFmtId="174" fontId="4" fillId="2" borderId="12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174" fontId="17" fillId="2" borderId="13" xfId="0" applyNumberFormat="1" applyFont="1" applyFill="1" applyBorder="1" applyAlignment="1">
      <alignment horizontal="center"/>
    </xf>
    <xf numFmtId="0" fontId="16" fillId="0" borderId="0" xfId="0" applyFont="1" applyFill="1" applyBorder="1"/>
    <xf numFmtId="4" fontId="4" fillId="0" borderId="8" xfId="0" applyNumberFormat="1" applyFont="1" applyFill="1" applyBorder="1" applyAlignment="1">
      <alignment horizontal="right"/>
    </xf>
    <xf numFmtId="4" fontId="4" fillId="0" borderId="14" xfId="0" quotePrefix="1" applyNumberFormat="1" applyFont="1" applyFill="1" applyBorder="1" applyAlignment="1">
      <alignment horizontal="right"/>
    </xf>
    <xf numFmtId="0" fontId="3" fillId="0" borderId="15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right"/>
    </xf>
    <xf numFmtId="4" fontId="4" fillId="0" borderId="15" xfId="0" quotePrefix="1" applyNumberFormat="1" applyFont="1" applyFill="1" applyBorder="1" applyAlignment="1">
      <alignment horizontal="right"/>
    </xf>
    <xf numFmtId="0" fontId="5" fillId="0" borderId="16" xfId="0" quotePrefix="1" applyFont="1" applyFill="1" applyBorder="1" applyAlignment="1">
      <alignment horizontal="left"/>
    </xf>
    <xf numFmtId="0" fontId="16" fillId="0" borderId="7" xfId="0" applyFont="1" applyFill="1" applyBorder="1"/>
    <xf numFmtId="0" fontId="12" fillId="0" borderId="7" xfId="0" applyFont="1" applyFill="1" applyBorder="1"/>
    <xf numFmtId="0" fontId="5" fillId="0" borderId="15" xfId="0" quotePrefix="1" applyFont="1" applyFill="1" applyBorder="1" applyAlignment="1">
      <alignment horizontal="left"/>
    </xf>
    <xf numFmtId="0" fontId="4" fillId="0" borderId="15" xfId="0" quotePrefix="1" applyFont="1" applyFill="1" applyBorder="1" applyAlignment="1">
      <alignment horizontal="left"/>
    </xf>
    <xf numFmtId="0" fontId="3" fillId="2" borderId="17" xfId="0" applyNumberFormat="1" applyFont="1" applyFill="1" applyBorder="1" applyAlignment="1">
      <alignment horizontal="center"/>
    </xf>
    <xf numFmtId="0" fontId="3" fillId="2" borderId="18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8" xfId="0" quotePrefix="1" applyFont="1" applyFill="1" applyBorder="1" applyAlignment="1">
      <alignment horizontal="left"/>
    </xf>
    <xf numFmtId="0" fontId="17" fillId="0" borderId="6" xfId="0" quotePrefix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Fill="1" applyBorder="1"/>
    <xf numFmtId="0" fontId="4" fillId="0" borderId="10" xfId="0" quotePrefix="1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left"/>
    </xf>
    <xf numFmtId="0" fontId="13" fillId="0" borderId="0" xfId="0" applyFont="1" applyFill="1"/>
    <xf numFmtId="0" fontId="0" fillId="0" borderId="0" xfId="0" applyFill="1" applyAlignment="1">
      <alignment horizontal="center" vertical="center"/>
    </xf>
    <xf numFmtId="0" fontId="7" fillId="0" borderId="0" xfId="0" applyFont="1" applyFill="1"/>
    <xf numFmtId="0" fontId="13" fillId="0" borderId="0" xfId="0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6" fillId="2" borderId="10" xfId="0" quotePrefix="1" applyFont="1" applyFill="1" applyBorder="1" applyAlignment="1">
      <alignment horizontal="left" vertical="center"/>
    </xf>
    <xf numFmtId="0" fontId="6" fillId="3" borderId="19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vertical="center"/>
    </xf>
    <xf numFmtId="3" fontId="5" fillId="0" borderId="0" xfId="0" quotePrefix="1" applyNumberFormat="1" applyFont="1" applyFill="1" applyBorder="1" applyAlignment="1">
      <alignment horizontal="center" vertical="center"/>
    </xf>
    <xf numFmtId="3" fontId="5" fillId="0" borderId="0" xfId="0" quotePrefix="1" applyNumberFormat="1" applyFont="1" applyFill="1" applyBorder="1" applyAlignment="1">
      <alignment horizontal="right" vertical="center"/>
    </xf>
    <xf numFmtId="3" fontId="4" fillId="0" borderId="20" xfId="0" quotePrefix="1" applyNumberFormat="1" applyFont="1" applyFill="1" applyBorder="1" applyAlignment="1">
      <alignment horizontal="right" vertical="center"/>
    </xf>
    <xf numFmtId="4" fontId="13" fillId="0" borderId="0" xfId="0" applyNumberFormat="1" applyFont="1" applyFill="1"/>
    <xf numFmtId="4" fontId="13" fillId="0" borderId="0" xfId="0" applyNumberFormat="1" applyFont="1" applyFill="1" applyBorder="1"/>
    <xf numFmtId="4" fontId="5" fillId="2" borderId="10" xfId="0" applyNumberFormat="1" applyFont="1" applyFill="1" applyBorder="1" applyAlignment="1">
      <alignment horizontal="right" vertical="center"/>
    </xf>
    <xf numFmtId="4" fontId="5" fillId="2" borderId="10" xfId="0" quotePrefix="1" applyNumberFormat="1" applyFont="1" applyFill="1" applyBorder="1" applyAlignment="1">
      <alignment horizontal="right" vertical="center"/>
    </xf>
    <xf numFmtId="4" fontId="3" fillId="0" borderId="0" xfId="0" applyNumberFormat="1" applyFont="1" applyFill="1"/>
    <xf numFmtId="4" fontId="5" fillId="3" borderId="10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/>
    </xf>
    <xf numFmtId="4" fontId="5" fillId="4" borderId="10" xfId="0" applyNumberFormat="1" applyFont="1" applyFill="1" applyBorder="1" applyAlignment="1">
      <alignment horizontal="right" vertical="center"/>
    </xf>
    <xf numFmtId="4" fontId="23" fillId="0" borderId="6" xfId="0" quotePrefix="1" applyNumberFormat="1" applyFont="1" applyFill="1" applyBorder="1" applyAlignment="1">
      <alignment horizontal="right"/>
    </xf>
    <xf numFmtId="10" fontId="23" fillId="0" borderId="6" xfId="0" quotePrefix="1" applyNumberFormat="1" applyFon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13" fillId="0" borderId="0" xfId="0" applyFont="1"/>
    <xf numFmtId="174" fontId="13" fillId="0" borderId="0" xfId="0" applyNumberFormat="1" applyFont="1"/>
    <xf numFmtId="0" fontId="6" fillId="3" borderId="10" xfId="0" applyFont="1" applyFill="1" applyBorder="1" applyAlignment="1">
      <alignment horizontal="left" vertical="center" wrapText="1"/>
    </xf>
    <xf numFmtId="0" fontId="7" fillId="0" borderId="6" xfId="0" quotePrefix="1" applyFont="1" applyFill="1" applyBorder="1" applyAlignment="1">
      <alignment vertical="center"/>
    </xf>
    <xf numFmtId="0" fontId="7" fillId="0" borderId="9" xfId="0" quotePrefix="1" applyFont="1" applyFill="1" applyBorder="1" applyAlignment="1">
      <alignment vertical="center"/>
    </xf>
    <xf numFmtId="4" fontId="13" fillId="0" borderId="0" xfId="0" applyNumberFormat="1" applyFont="1" applyFill="1" applyAlignment="1">
      <alignment vertical="center"/>
    </xf>
    <xf numFmtId="0" fontId="3" fillId="0" borderId="0" xfId="0" applyFont="1"/>
    <xf numFmtId="4" fontId="3" fillId="0" borderId="0" xfId="0" applyNumberFormat="1" applyFont="1"/>
    <xf numFmtId="3" fontId="3" fillId="0" borderId="0" xfId="0" applyNumberFormat="1" applyFont="1"/>
    <xf numFmtId="4" fontId="25" fillId="0" borderId="0" xfId="0" applyNumberFormat="1" applyFont="1"/>
    <xf numFmtId="3" fontId="25" fillId="0" borderId="0" xfId="0" applyNumberFormat="1" applyFont="1"/>
    <xf numFmtId="0" fontId="3" fillId="0" borderId="10" xfId="0" applyFont="1" applyBorder="1"/>
    <xf numFmtId="4" fontId="3" fillId="0" borderId="10" xfId="0" applyNumberFormat="1" applyFont="1" applyBorder="1"/>
    <xf numFmtId="3" fontId="3" fillId="0" borderId="10" xfId="0" applyNumberFormat="1" applyFont="1" applyBorder="1"/>
    <xf numFmtId="0" fontId="17" fillId="0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9" fillId="0" borderId="0" xfId="0" applyFont="1" applyFill="1"/>
    <xf numFmtId="0" fontId="7" fillId="0" borderId="6" xfId="0" quotePrefix="1" applyFont="1" applyFill="1" applyBorder="1" applyAlignment="1">
      <alignment horizontal="left" vertical="center"/>
    </xf>
    <xf numFmtId="0" fontId="27" fillId="5" borderId="0" xfId="0" applyFont="1" applyFill="1" applyAlignment="1">
      <alignment horizontal="center" vertical="center"/>
    </xf>
    <xf numFmtId="4" fontId="29" fillId="0" borderId="0" xfId="0" applyNumberFormat="1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/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8" xfId="0" quotePrefix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Alignment="1">
      <alignment horizontal="right"/>
    </xf>
    <xf numFmtId="4" fontId="13" fillId="0" borderId="0" xfId="0" applyNumberFormat="1" applyFont="1" applyFill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/>
    </xf>
    <xf numFmtId="4" fontId="21" fillId="0" borderId="0" xfId="0" applyNumberFormat="1" applyFont="1" applyFill="1" applyAlignment="1">
      <alignment horizontal="right" vertical="center"/>
    </xf>
    <xf numFmtId="4" fontId="22" fillId="0" borderId="0" xfId="0" applyNumberFormat="1" applyFont="1" applyFill="1" applyAlignment="1">
      <alignment horizontal="right" vertical="center"/>
    </xf>
    <xf numFmtId="0" fontId="29" fillId="0" borderId="0" xfId="0" applyFont="1" applyFill="1" applyBorder="1" applyAlignment="1">
      <alignment horizontal="left" vertical="center"/>
    </xf>
    <xf numFmtId="4" fontId="12" fillId="0" borderId="0" xfId="0" applyNumberFormat="1" applyFont="1" applyFill="1"/>
    <xf numFmtId="4" fontId="0" fillId="0" borderId="0" xfId="0" applyNumberFormat="1" applyFill="1" applyAlignment="1">
      <alignment vertical="center"/>
    </xf>
    <xf numFmtId="4" fontId="0" fillId="0" borderId="0" xfId="0" applyNumberFormat="1" applyFill="1" applyBorder="1"/>
    <xf numFmtId="4" fontId="0" fillId="0" borderId="0" xfId="0" applyNumberFormat="1" applyFill="1" applyAlignment="1">
      <alignment horizontal="center" vertical="center"/>
    </xf>
    <xf numFmtId="4" fontId="7" fillId="0" borderId="0" xfId="0" applyNumberFormat="1" applyFont="1" applyFill="1"/>
    <xf numFmtId="4" fontId="13" fillId="0" borderId="0" xfId="0" applyNumberFormat="1" applyFont="1" applyFill="1" applyBorder="1" applyAlignment="1">
      <alignment vertical="center"/>
    </xf>
    <xf numFmtId="4" fontId="21" fillId="0" borderId="0" xfId="0" applyNumberFormat="1" applyFont="1" applyFill="1" applyAlignment="1">
      <alignment vertical="center"/>
    </xf>
    <xf numFmtId="4" fontId="22" fillId="0" borderId="0" xfId="0" applyNumberFormat="1" applyFont="1" applyFill="1" applyAlignment="1">
      <alignment vertical="center"/>
    </xf>
    <xf numFmtId="0" fontId="6" fillId="2" borderId="10" xfId="0" quotePrefix="1" applyFont="1" applyFill="1" applyBorder="1" applyAlignment="1">
      <alignment horizontal="left" vertical="center" wrapText="1"/>
    </xf>
    <xf numFmtId="0" fontId="14" fillId="3" borderId="19" xfId="0" quotePrefix="1" applyFont="1" applyFill="1" applyBorder="1" applyAlignment="1">
      <alignment horizontal="left" vertical="center"/>
    </xf>
    <xf numFmtId="0" fontId="15" fillId="3" borderId="10" xfId="0" quotePrefix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right"/>
    </xf>
    <xf numFmtId="4" fontId="7" fillId="0" borderId="12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4" fontId="7" fillId="0" borderId="6" xfId="0" applyNumberFormat="1" applyFont="1" applyFill="1" applyBorder="1" applyAlignment="1">
      <alignment horizontal="right"/>
    </xf>
    <xf numFmtId="4" fontId="7" fillId="0" borderId="6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 vertical="center"/>
    </xf>
    <xf numFmtId="4" fontId="7" fillId="0" borderId="21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/>
    </xf>
    <xf numFmtId="4" fontId="29" fillId="0" borderId="0" xfId="0" applyNumberFormat="1" applyFont="1" applyFill="1" applyAlignment="1">
      <alignment horizontal="left"/>
    </xf>
    <xf numFmtId="3" fontId="26" fillId="0" borderId="20" xfId="0" applyNumberFormat="1" applyFont="1" applyFill="1" applyBorder="1" applyAlignment="1">
      <alignment horizontal="right"/>
    </xf>
    <xf numFmtId="3" fontId="7" fillId="0" borderId="22" xfId="0" applyNumberFormat="1" applyFont="1" applyFill="1" applyBorder="1" applyAlignment="1">
      <alignment horizontal="right"/>
    </xf>
    <xf numFmtId="3" fontId="7" fillId="0" borderId="14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left"/>
    </xf>
    <xf numFmtId="10" fontId="0" fillId="0" borderId="0" xfId="0" applyNumberFormat="1"/>
    <xf numFmtId="0" fontId="3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/>
    <xf numFmtId="0" fontId="32" fillId="5" borderId="0" xfId="0" applyFont="1" applyFill="1" applyAlignment="1">
      <alignment horizontal="center" vertical="center"/>
    </xf>
    <xf numFmtId="0" fontId="38" fillId="0" borderId="0" xfId="0" applyFont="1" applyFill="1" applyBorder="1"/>
    <xf numFmtId="0" fontId="39" fillId="0" borderId="0" xfId="0" applyFont="1" applyFill="1"/>
    <xf numFmtId="0" fontId="40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quotePrefix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 wrapText="1"/>
    </xf>
    <xf numFmtId="0" fontId="14" fillId="0" borderId="0" xfId="0" quotePrefix="1" applyFont="1" applyFill="1" applyBorder="1" applyAlignment="1">
      <alignment horizontal="left" vertical="center"/>
    </xf>
    <xf numFmtId="0" fontId="15" fillId="0" borderId="0" xfId="0" quotePrefix="1" applyFont="1" applyFill="1" applyBorder="1" applyAlignment="1">
      <alignment horizontal="left" vertical="center"/>
    </xf>
    <xf numFmtId="4" fontId="8" fillId="0" borderId="9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vertical="center"/>
    </xf>
    <xf numFmtId="4" fontId="3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41" fillId="0" borderId="0" xfId="0" applyFont="1" applyFill="1"/>
    <xf numFmtId="0" fontId="41" fillId="0" borderId="0" xfId="0" applyFont="1" applyFill="1" applyAlignment="1">
      <alignment vertical="center" wrapText="1"/>
    </xf>
    <xf numFmtId="4" fontId="41" fillId="0" borderId="0" xfId="0" applyNumberFormat="1" applyFont="1" applyFill="1"/>
    <xf numFmtId="0" fontId="35" fillId="0" borderId="9" xfId="0" applyFont="1" applyFill="1" applyBorder="1" applyAlignment="1">
      <alignment horizontal="left"/>
    </xf>
    <xf numFmtId="4" fontId="3" fillId="0" borderId="15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0" fontId="6" fillId="0" borderId="15" xfId="0" quotePrefix="1" applyFont="1" applyFill="1" applyBorder="1" applyAlignment="1">
      <alignment horizontal="left" vertical="center"/>
    </xf>
    <xf numFmtId="0" fontId="7" fillId="0" borderId="15" xfId="0" quotePrefix="1" applyFont="1" applyFill="1" applyBorder="1" applyAlignment="1">
      <alignment vertical="center"/>
    </xf>
    <xf numFmtId="0" fontId="6" fillId="0" borderId="15" xfId="0" quotePrefix="1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vertical="center"/>
    </xf>
    <xf numFmtId="0" fontId="7" fillId="0" borderId="15" xfId="0" quotePrefix="1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14" fillId="0" borderId="20" xfId="0" quotePrefix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/>
    </xf>
    <xf numFmtId="0" fontId="35" fillId="0" borderId="15" xfId="0" applyFont="1" applyFill="1" applyBorder="1" applyAlignment="1">
      <alignment horizontal="left"/>
    </xf>
    <xf numFmtId="0" fontId="15" fillId="0" borderId="15" xfId="0" quotePrefix="1" applyFont="1" applyFill="1" applyBorder="1" applyAlignment="1">
      <alignment horizontal="left" vertical="center"/>
    </xf>
    <xf numFmtId="0" fontId="7" fillId="0" borderId="20" xfId="0" applyFont="1" applyFill="1" applyBorder="1"/>
    <xf numFmtId="0" fontId="7" fillId="0" borderId="15" xfId="0" applyFont="1" applyFill="1" applyBorder="1"/>
    <xf numFmtId="0" fontId="6" fillId="0" borderId="2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left"/>
    </xf>
    <xf numFmtId="0" fontId="7" fillId="0" borderId="20" xfId="0" quotePrefix="1" applyFont="1" applyFill="1" applyBorder="1" applyAlignment="1">
      <alignment horizontal="left"/>
    </xf>
    <xf numFmtId="0" fontId="7" fillId="0" borderId="2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7" fillId="0" borderId="15" xfId="0" quotePrefix="1" applyFont="1" applyFill="1" applyBorder="1" applyAlignment="1">
      <alignment horizontal="left" vertical="center"/>
    </xf>
    <xf numFmtId="0" fontId="7" fillId="0" borderId="15" xfId="0" quotePrefix="1" applyFont="1" applyFill="1" applyBorder="1" applyAlignment="1">
      <alignment horizontal="left"/>
    </xf>
    <xf numFmtId="0" fontId="34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/>
    </xf>
    <xf numFmtId="0" fontId="41" fillId="0" borderId="20" xfId="0" applyFont="1" applyFill="1" applyBorder="1"/>
    <xf numFmtId="3" fontId="7" fillId="0" borderId="14" xfId="0" applyNumberFormat="1" applyFont="1" applyFill="1" applyBorder="1" applyAlignment="1">
      <alignment horizontal="right"/>
    </xf>
    <xf numFmtId="0" fontId="38" fillId="0" borderId="0" xfId="0" applyFont="1" applyFill="1" applyAlignment="1">
      <alignment horizontal="center"/>
    </xf>
    <xf numFmtId="3" fontId="7" fillId="0" borderId="7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 vertical="center"/>
    </xf>
    <xf numFmtId="4" fontId="23" fillId="0" borderId="9" xfId="0" quotePrefix="1" applyNumberFormat="1" applyFont="1" applyFill="1" applyBorder="1" applyAlignment="1">
      <alignment horizontal="right"/>
    </xf>
    <xf numFmtId="10" fontId="23" fillId="0" borderId="9" xfId="0" quotePrefix="1" applyNumberFormat="1" applyFont="1" applyFill="1" applyBorder="1" applyAlignment="1">
      <alignment horizontal="right"/>
    </xf>
    <xf numFmtId="0" fontId="7" fillId="0" borderId="1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 wrapText="1"/>
    </xf>
    <xf numFmtId="0" fontId="34" fillId="0" borderId="15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4" fontId="28" fillId="4" borderId="10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7" fillId="0" borderId="16" xfId="0" applyFont="1" applyFill="1" applyBorder="1"/>
    <xf numFmtId="4" fontId="39" fillId="0" borderId="0" xfId="0" applyNumberFormat="1" applyFont="1" applyFill="1" applyBorder="1" applyAlignment="1">
      <alignment horizontal="left" vertical="center"/>
    </xf>
    <xf numFmtId="4" fontId="42" fillId="0" borderId="8" xfId="0" applyNumberFormat="1" applyFont="1" applyFill="1" applyBorder="1" applyAlignment="1">
      <alignment vertical="center"/>
    </xf>
    <xf numFmtId="4" fontId="42" fillId="0" borderId="6" xfId="0" applyNumberFormat="1" applyFont="1" applyFill="1" applyBorder="1" applyAlignment="1">
      <alignment vertical="center"/>
    </xf>
    <xf numFmtId="0" fontId="43" fillId="4" borderId="10" xfId="0" applyFont="1" applyFill="1" applyBorder="1" applyAlignment="1">
      <alignment horizontal="left" vertical="center"/>
    </xf>
    <xf numFmtId="0" fontId="33" fillId="4" borderId="10" xfId="0" applyFont="1" applyFill="1" applyBorder="1" applyAlignment="1">
      <alignment horizontal="right" vertical="center"/>
    </xf>
    <xf numFmtId="0" fontId="44" fillId="2" borderId="10" xfId="0" quotePrefix="1" applyFont="1" applyFill="1" applyBorder="1" applyAlignment="1">
      <alignment horizontal="left" vertical="center"/>
    </xf>
    <xf numFmtId="4" fontId="24" fillId="0" borderId="8" xfId="0" applyNumberFormat="1" applyFont="1" applyFill="1" applyBorder="1" applyAlignment="1">
      <alignment horizontal="right"/>
    </xf>
    <xf numFmtId="10" fontId="24" fillId="0" borderId="8" xfId="0" applyNumberFormat="1" applyFont="1" applyFill="1" applyBorder="1" applyAlignment="1">
      <alignment horizontal="right"/>
    </xf>
    <xf numFmtId="4" fontId="28" fillId="0" borderId="10" xfId="0" quotePrefix="1" applyNumberFormat="1" applyFont="1" applyFill="1" applyBorder="1" applyAlignment="1">
      <alignment horizontal="right"/>
    </xf>
    <xf numFmtId="10" fontId="28" fillId="0" borderId="10" xfId="0" quotePrefix="1" applyNumberFormat="1" applyFont="1" applyFill="1" applyBorder="1" applyAlignment="1">
      <alignment horizontal="right"/>
    </xf>
    <xf numFmtId="0" fontId="25" fillId="0" borderId="0" xfId="0" applyFont="1"/>
    <xf numFmtId="0" fontId="6" fillId="2" borderId="23" xfId="0" applyFont="1" applyFill="1" applyBorder="1" applyAlignment="1">
      <alignment vertical="center" wrapText="1"/>
    </xf>
    <xf numFmtId="4" fontId="6" fillId="2" borderId="12" xfId="0" applyNumberFormat="1" applyFont="1" applyFill="1" applyBorder="1" applyAlignment="1">
      <alignment horizontal="right" vertical="center"/>
    </xf>
    <xf numFmtId="0" fontId="7" fillId="0" borderId="24" xfId="0" applyFont="1" applyFill="1" applyBorder="1"/>
    <xf numFmtId="0" fontId="7" fillId="0" borderId="23" xfId="0" applyFont="1" applyFill="1" applyBorder="1"/>
    <xf numFmtId="4" fontId="7" fillId="0" borderId="4" xfId="0" applyNumberFormat="1" applyFont="1" applyFill="1" applyBorder="1" applyAlignment="1">
      <alignment horizontal="right"/>
    </xf>
    <xf numFmtId="0" fontId="0" fillId="0" borderId="0" xfId="0" applyBorder="1"/>
    <xf numFmtId="0" fontId="7" fillId="0" borderId="11" xfId="0" applyFont="1" applyFill="1" applyBorder="1"/>
    <xf numFmtId="0" fontId="0" fillId="0" borderId="5" xfId="0" applyBorder="1"/>
    <xf numFmtId="0" fontId="7" fillId="7" borderId="6" xfId="0" applyFont="1" applyFill="1" applyBorder="1"/>
    <xf numFmtId="4" fontId="7" fillId="7" borderId="8" xfId="0" applyNumberFormat="1" applyFont="1" applyFill="1" applyBorder="1" applyAlignment="1">
      <alignment horizontal="right"/>
    </xf>
    <xf numFmtId="4" fontId="7" fillId="7" borderId="21" xfId="0" applyNumberFormat="1" applyFont="1" applyFill="1" applyBorder="1" applyAlignment="1">
      <alignment horizontal="right" vertical="center"/>
    </xf>
    <xf numFmtId="4" fontId="7" fillId="7" borderId="6" xfId="0" applyNumberFormat="1" applyFont="1" applyFill="1" applyBorder="1" applyAlignment="1">
      <alignment horizontal="right"/>
    </xf>
    <xf numFmtId="4" fontId="7" fillId="7" borderId="6" xfId="0" applyNumberFormat="1" applyFont="1" applyFill="1" applyBorder="1" applyAlignment="1">
      <alignment horizontal="right" vertical="center"/>
    </xf>
    <xf numFmtId="4" fontId="7" fillId="7" borderId="16" xfId="0" applyNumberFormat="1" applyFont="1" applyFill="1" applyBorder="1" applyAlignment="1">
      <alignment horizontal="right" vertical="center"/>
    </xf>
    <xf numFmtId="4" fontId="7" fillId="7" borderId="8" xfId="0" applyNumberFormat="1" applyFont="1" applyFill="1" applyBorder="1" applyAlignment="1">
      <alignment horizontal="right" vertical="center"/>
    </xf>
    <xf numFmtId="4" fontId="7" fillId="7" borderId="21" xfId="0" applyNumberFormat="1" applyFont="1" applyFill="1" applyBorder="1" applyAlignment="1">
      <alignment horizontal="right"/>
    </xf>
    <xf numFmtId="4" fontId="7" fillId="7" borderId="16" xfId="0" applyNumberFormat="1" applyFont="1" applyFill="1" applyBorder="1" applyAlignment="1">
      <alignment horizontal="right"/>
    </xf>
    <xf numFmtId="4" fontId="7" fillId="7" borderId="9" xfId="0" applyNumberFormat="1" applyFont="1" applyFill="1" applyBorder="1" applyAlignment="1">
      <alignment vertical="center"/>
    </xf>
    <xf numFmtId="4" fontId="7" fillId="7" borderId="9" xfId="0" applyNumberFormat="1" applyFont="1" applyFill="1" applyBorder="1" applyAlignment="1">
      <alignment horizontal="right"/>
    </xf>
    <xf numFmtId="0" fontId="7" fillId="7" borderId="1" xfId="0" applyFont="1" applyFill="1" applyBorder="1"/>
    <xf numFmtId="0" fontId="7" fillId="0" borderId="7" xfId="0" quotePrefix="1" applyFont="1" applyFill="1" applyBorder="1" applyAlignment="1">
      <alignment vertical="center"/>
    </xf>
    <xf numFmtId="4" fontId="13" fillId="0" borderId="25" xfId="0" applyNumberFormat="1" applyFont="1" applyFill="1" applyBorder="1"/>
    <xf numFmtId="0" fontId="7" fillId="0" borderId="8" xfId="0" quotePrefix="1" applyFont="1" applyFill="1" applyBorder="1" applyAlignment="1">
      <alignment vertical="center"/>
    </xf>
    <xf numFmtId="4" fontId="7" fillId="7" borderId="13" xfId="0" applyNumberFormat="1" applyFont="1" applyFill="1" applyBorder="1" applyAlignment="1">
      <alignment horizontal="right"/>
    </xf>
    <xf numFmtId="0" fontId="29" fillId="7" borderId="0" xfId="0" applyFont="1" applyFill="1" applyAlignment="1">
      <alignment vertical="center" wrapText="1"/>
    </xf>
    <xf numFmtId="4" fontId="50" fillId="0" borderId="6" xfId="0" quotePrefix="1" applyNumberFormat="1" applyFont="1" applyFill="1" applyBorder="1" applyAlignment="1">
      <alignment horizontal="right"/>
    </xf>
    <xf numFmtId="10" fontId="50" fillId="0" borderId="6" xfId="0" quotePrefix="1" applyNumberFormat="1" applyFont="1" applyFill="1" applyBorder="1" applyAlignment="1">
      <alignment horizontal="right"/>
    </xf>
    <xf numFmtId="4" fontId="24" fillId="0" borderId="9" xfId="0" quotePrefix="1" applyNumberFormat="1" applyFont="1" applyFill="1" applyBorder="1" applyAlignment="1">
      <alignment horizontal="right"/>
    </xf>
    <xf numFmtId="10" fontId="24" fillId="0" borderId="9" xfId="0" quotePrefix="1" applyNumberFormat="1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4" fontId="7" fillId="7" borderId="13" xfId="0" applyNumberFormat="1" applyFont="1" applyFill="1" applyBorder="1" applyAlignment="1">
      <alignment horizontal="right" vertical="center"/>
    </xf>
    <xf numFmtId="4" fontId="7" fillId="7" borderId="15" xfId="0" applyNumberFormat="1" applyFont="1" applyFill="1" applyBorder="1" applyAlignment="1">
      <alignment horizontal="right" vertical="center"/>
    </xf>
    <xf numFmtId="4" fontId="7" fillId="7" borderId="9" xfId="0" applyNumberFormat="1" applyFont="1" applyFill="1" applyBorder="1" applyAlignment="1">
      <alignment horizontal="right" vertical="center"/>
    </xf>
    <xf numFmtId="4" fontId="7" fillId="7" borderId="8" xfId="0" applyNumberFormat="1" applyFont="1" applyFill="1" applyBorder="1" applyAlignment="1">
      <alignment vertical="center"/>
    </xf>
    <xf numFmtId="4" fontId="7" fillId="7" borderId="16" xfId="0" applyNumberFormat="1" applyFont="1" applyFill="1" applyBorder="1" applyAlignment="1">
      <alignment vertical="center"/>
    </xf>
    <xf numFmtId="4" fontId="7" fillId="7" borderId="6" xfId="0" applyNumberFormat="1" applyFont="1" applyFill="1" applyBorder="1" applyAlignment="1">
      <alignment vertical="center"/>
    </xf>
    <xf numFmtId="4" fontId="4" fillId="4" borderId="10" xfId="0" applyNumberFormat="1" applyFont="1" applyFill="1" applyBorder="1" applyAlignment="1">
      <alignment horizontal="right" vertical="center"/>
    </xf>
    <xf numFmtId="4" fontId="7" fillId="0" borderId="6" xfId="0" applyNumberFormat="1" applyFont="1" applyFill="1" applyBorder="1" applyAlignment="1">
      <alignment vertical="center"/>
    </xf>
    <xf numFmtId="4" fontId="8" fillId="0" borderId="9" xfId="0" applyNumberFormat="1" applyFont="1" applyFill="1" applyBorder="1" applyAlignment="1">
      <alignment vertical="center"/>
    </xf>
    <xf numFmtId="4" fontId="7" fillId="7" borderId="12" xfId="0" applyNumberFormat="1" applyFont="1" applyFill="1" applyBorder="1" applyAlignment="1">
      <alignment horizontal="right" vertical="center"/>
    </xf>
    <xf numFmtId="4" fontId="5" fillId="3" borderId="10" xfId="0" quotePrefix="1" applyNumberFormat="1" applyFont="1" applyFill="1" applyBorder="1" applyAlignment="1">
      <alignment horizontal="right" vertical="center"/>
    </xf>
    <xf numFmtId="4" fontId="4" fillId="3" borderId="10" xfId="0" quotePrefix="1" applyNumberFormat="1" applyFont="1" applyFill="1" applyBorder="1" applyAlignment="1">
      <alignment horizontal="right" vertical="center"/>
    </xf>
    <xf numFmtId="0" fontId="47" fillId="0" borderId="0" xfId="0" applyFont="1" applyFill="1"/>
    <xf numFmtId="0" fontId="48" fillId="0" borderId="0" xfId="0" applyFont="1" applyFill="1"/>
    <xf numFmtId="4" fontId="7" fillId="8" borderId="21" xfId="0" applyNumberFormat="1" applyFont="1" applyFill="1" applyBorder="1" applyAlignment="1">
      <alignment horizontal="right" vertical="center"/>
    </xf>
    <xf numFmtId="4" fontId="7" fillId="8" borderId="6" xfId="0" applyNumberFormat="1" applyFont="1" applyFill="1" applyBorder="1" applyAlignment="1">
      <alignment horizontal="right"/>
    </xf>
    <xf numFmtId="4" fontId="7" fillId="0" borderId="12" xfId="0" applyNumberFormat="1" applyFont="1" applyFill="1" applyBorder="1" applyAlignment="1">
      <alignment horizontal="right" vertical="center"/>
    </xf>
    <xf numFmtId="4" fontId="51" fillId="0" borderId="8" xfId="0" applyNumberFormat="1" applyFont="1" applyFill="1" applyBorder="1" applyAlignment="1">
      <alignment horizontal="right"/>
    </xf>
    <xf numFmtId="10" fontId="51" fillId="0" borderId="8" xfId="0" applyNumberFormat="1" applyFont="1" applyFill="1" applyBorder="1" applyAlignment="1">
      <alignment horizontal="right"/>
    </xf>
    <xf numFmtId="4" fontId="51" fillId="0" borderId="6" xfId="0" quotePrefix="1" applyNumberFormat="1" applyFont="1" applyFill="1" applyBorder="1" applyAlignment="1">
      <alignment horizontal="right"/>
    </xf>
    <xf numFmtId="10" fontId="51" fillId="0" borderId="6" xfId="0" quotePrefix="1" applyNumberFormat="1" applyFont="1" applyFill="1" applyBorder="1" applyAlignment="1">
      <alignment horizontal="right"/>
    </xf>
    <xf numFmtId="4" fontId="7" fillId="8" borderId="6" xfId="0" applyNumberFormat="1" applyFont="1" applyFill="1" applyBorder="1" applyAlignment="1">
      <alignment horizontal="right" vertical="center"/>
    </xf>
    <xf numFmtId="4" fontId="7" fillId="8" borderId="8" xfId="0" applyNumberFormat="1" applyFont="1" applyFill="1" applyBorder="1" applyAlignment="1">
      <alignment horizontal="right"/>
    </xf>
    <xf numFmtId="4" fontId="7" fillId="8" borderId="21" xfId="0" applyNumberFormat="1" applyFont="1" applyFill="1" applyBorder="1" applyAlignment="1">
      <alignment horizontal="right"/>
    </xf>
    <xf numFmtId="4" fontId="7" fillId="8" borderId="16" xfId="0" applyNumberFormat="1" applyFont="1" applyFill="1" applyBorder="1" applyAlignment="1">
      <alignment horizontal="right"/>
    </xf>
    <xf numFmtId="0" fontId="4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9" fillId="0" borderId="20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13" fillId="0" borderId="0" xfId="0" applyNumberFormat="1" applyFont="1" applyFill="1" applyAlignment="1">
      <alignment horizontal="center"/>
    </xf>
    <xf numFmtId="4" fontId="13" fillId="0" borderId="0" xfId="0" applyNumberFormat="1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6" fillId="0" borderId="0" xfId="0" applyFont="1" applyFill="1" applyBorder="1" applyAlignment="1">
      <alignment horizontal="left"/>
    </xf>
    <xf numFmtId="0" fontId="33" fillId="0" borderId="0" xfId="0" applyFont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9999FF"/>
                </a:gs>
                <a:gs pos="100000">
                  <a:srgbClr val="EBEBFF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1-40E5-A2D9-15D978C0C805}"/>
            </c:ext>
          </c:extLst>
        </c:ser>
        <c:ser>
          <c:idx val="1"/>
          <c:order val="1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993366"/>
                </a:gs>
                <a:gs pos="100000">
                  <a:srgbClr val="EBD7E1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1-40E5-A2D9-15D978C0C805}"/>
            </c:ext>
          </c:extLst>
        </c:ser>
        <c:ser>
          <c:idx val="2"/>
          <c:order val="2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FFFFCC"/>
                </a:gs>
                <a:gs pos="100000">
                  <a:srgbClr val="FFFFF5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D1-40E5-A2D9-15D978C0C805}"/>
            </c:ext>
          </c:extLst>
        </c:ser>
        <c:ser>
          <c:idx val="3"/>
          <c:order val="3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CCFFFF"/>
                </a:gs>
                <a:gs pos="100000">
                  <a:srgbClr val="F5FFFF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1-40E5-A2D9-15D978C0C805}"/>
            </c:ext>
          </c:extLst>
        </c:ser>
        <c:ser>
          <c:idx val="4"/>
          <c:order val="4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660066"/>
                </a:gs>
                <a:gs pos="100000">
                  <a:srgbClr val="E1CCE1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D1-40E5-A2D9-15D978C0C805}"/>
            </c:ext>
          </c:extLst>
        </c:ser>
        <c:ser>
          <c:idx val="5"/>
          <c:order val="5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FF8080"/>
                </a:gs>
                <a:gs pos="100000">
                  <a:srgbClr val="FFE6E6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D1-40E5-A2D9-15D978C0C805}"/>
            </c:ext>
          </c:extLst>
        </c:ser>
        <c:ser>
          <c:idx val="6"/>
          <c:order val="6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0066CC"/>
                </a:gs>
                <a:gs pos="100000">
                  <a:srgbClr val="CCE1F5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D1-40E5-A2D9-15D978C0C805}"/>
            </c:ext>
          </c:extLst>
        </c:ser>
        <c:ser>
          <c:idx val="7"/>
          <c:order val="7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CCCCFF"/>
                </a:gs>
                <a:gs pos="100000">
                  <a:srgbClr val="FDFDFF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D1-40E5-A2D9-15D978C0C805}"/>
            </c:ext>
          </c:extLst>
        </c:ser>
        <c:ser>
          <c:idx val="8"/>
          <c:order val="8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000080"/>
                </a:gs>
                <a:gs pos="100000">
                  <a:srgbClr val="CCCCE6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D1-40E5-A2D9-15D978C0C805}"/>
            </c:ext>
          </c:extLst>
        </c:ser>
        <c:ser>
          <c:idx val="9"/>
          <c:order val="9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FF00FF"/>
                </a:gs>
                <a:gs pos="100000">
                  <a:srgbClr val="FFE5FF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D1-40E5-A2D9-15D978C0C805}"/>
            </c:ext>
          </c:extLst>
        </c:ser>
        <c:ser>
          <c:idx val="10"/>
          <c:order val="10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D1-40E5-A2D9-15D978C0C805}"/>
            </c:ext>
          </c:extLst>
        </c:ser>
        <c:ser>
          <c:idx val="15"/>
          <c:order val="11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D1-40E5-A2D9-15D978C0C805}"/>
            </c:ext>
          </c:extLst>
        </c:ser>
        <c:ser>
          <c:idx val="16"/>
          <c:order val="12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4472C4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D1-40E5-A2D9-15D978C0C805}"/>
            </c:ext>
          </c:extLst>
        </c:ser>
        <c:ser>
          <c:idx val="17"/>
          <c:order val="13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D1-40E5-A2D9-15D978C0C805}"/>
            </c:ext>
          </c:extLst>
        </c:ser>
        <c:ser>
          <c:idx val="18"/>
          <c:order val="14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D1-40E5-A2D9-15D978C0C805}"/>
            </c:ext>
          </c:extLst>
        </c:ser>
        <c:ser>
          <c:idx val="19"/>
          <c:order val="15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3D1-40E5-A2D9-15D978C0C805}"/>
            </c:ext>
          </c:extLst>
        </c:ser>
        <c:ser>
          <c:idx val="11"/>
          <c:order val="16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3D1-40E5-A2D9-15D978C0C805}"/>
            </c:ext>
          </c:extLst>
        </c:ser>
        <c:ser>
          <c:idx val="20"/>
          <c:order val="17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3D1-40E5-A2D9-15D978C0C805}"/>
            </c:ext>
          </c:extLst>
        </c:ser>
        <c:ser>
          <c:idx val="21"/>
          <c:order val="18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3D1-40E5-A2D9-15D978C0C805}"/>
            </c:ext>
          </c:extLst>
        </c:ser>
        <c:ser>
          <c:idx val="22"/>
          <c:order val="19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2F5597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3D1-40E5-A2D9-15D978C0C805}"/>
            </c:ext>
          </c:extLst>
        </c:ser>
        <c:ser>
          <c:idx val="23"/>
          <c:order val="20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3D1-40E5-A2D9-15D978C0C805}"/>
            </c:ext>
          </c:extLst>
        </c:ser>
        <c:ser>
          <c:idx val="24"/>
          <c:order val="21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3D1-40E5-A2D9-15D978C0C805}"/>
            </c:ext>
          </c:extLst>
        </c:ser>
        <c:ser>
          <c:idx val="25"/>
          <c:order val="22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3D1-40E5-A2D9-15D978C0C805}"/>
            </c:ext>
          </c:extLst>
        </c:ser>
        <c:ser>
          <c:idx val="26"/>
          <c:order val="23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3D1-40E5-A2D9-15D978C0C805}"/>
            </c:ext>
          </c:extLst>
        </c:ser>
        <c:ser>
          <c:idx val="27"/>
          <c:order val="24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3D1-40E5-A2D9-15D978C0C805}"/>
            </c:ext>
          </c:extLst>
        </c:ser>
        <c:ser>
          <c:idx val="28"/>
          <c:order val="25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3D1-40E5-A2D9-15D978C0C805}"/>
            </c:ext>
          </c:extLst>
        </c:ser>
        <c:ser>
          <c:idx val="29"/>
          <c:order val="26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3D1-40E5-A2D9-15D978C0C805}"/>
            </c:ext>
          </c:extLst>
        </c:ser>
        <c:ser>
          <c:idx val="30"/>
          <c:order val="27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2F5597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3D1-40E5-A2D9-15D978C0C805}"/>
            </c:ext>
          </c:extLst>
        </c:ser>
        <c:ser>
          <c:idx val="31"/>
          <c:order val="28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3D1-40E5-A2D9-15D978C0C805}"/>
            </c:ext>
          </c:extLst>
        </c:ser>
        <c:ser>
          <c:idx val="12"/>
          <c:order val="29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3D1-40E5-A2D9-15D978C0C805}"/>
            </c:ext>
          </c:extLst>
        </c:ser>
        <c:ser>
          <c:idx val="32"/>
          <c:order val="30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3D1-40E5-A2D9-15D978C0C805}"/>
            </c:ext>
          </c:extLst>
        </c:ser>
        <c:ser>
          <c:idx val="33"/>
          <c:order val="31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3D1-40E5-A2D9-15D978C0C805}"/>
            </c:ext>
          </c:extLst>
        </c:ser>
        <c:ser>
          <c:idx val="34"/>
          <c:order val="32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3D1-40E5-A2D9-15D978C0C805}"/>
            </c:ext>
          </c:extLst>
        </c:ser>
        <c:ser>
          <c:idx val="35"/>
          <c:order val="33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93D1-40E5-A2D9-15D978C0C805}"/>
            </c:ext>
          </c:extLst>
        </c:ser>
        <c:ser>
          <c:idx val="36"/>
          <c:order val="34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3D1-40E5-A2D9-15D978C0C805}"/>
            </c:ext>
          </c:extLst>
        </c:ser>
        <c:ser>
          <c:idx val="37"/>
          <c:order val="35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D0CECE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3D1-40E5-A2D9-15D978C0C805}"/>
            </c:ext>
          </c:extLst>
        </c:ser>
        <c:ser>
          <c:idx val="13"/>
          <c:order val="36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3D1-40E5-A2D9-15D978C0C805}"/>
            </c:ext>
          </c:extLst>
        </c:ser>
        <c:ser>
          <c:idx val="38"/>
          <c:order val="37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93D1-40E5-A2D9-15D978C0C805}"/>
            </c:ext>
          </c:extLst>
        </c:ser>
        <c:ser>
          <c:idx val="39"/>
          <c:order val="38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3D1-40E5-A2D9-15D978C0C805}"/>
            </c:ext>
          </c:extLst>
        </c:ser>
        <c:ser>
          <c:idx val="40"/>
          <c:order val="39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93D1-40E5-A2D9-15D978C0C805}"/>
            </c:ext>
          </c:extLst>
        </c:ser>
        <c:ser>
          <c:idx val="41"/>
          <c:order val="40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3D1-40E5-A2D9-15D978C0C805}"/>
            </c:ext>
          </c:extLst>
        </c:ser>
        <c:ser>
          <c:idx val="42"/>
          <c:order val="41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93D1-40E5-A2D9-15D978C0C805}"/>
            </c:ext>
          </c:extLst>
        </c:ser>
        <c:ser>
          <c:idx val="14"/>
          <c:order val="42"/>
          <c:tx>
            <c:strRef>
              <c:f>'Resumen Ingresos'!#REF!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Ingresos'!#REF!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93D1-40E5-A2D9-15D978C0C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9999FF"/>
              </a:solidFill>
              <a:prstDash val="solid"/>
            </a:ln>
          </c:spPr>
        </c:serLines>
        <c:axId val="489650608"/>
        <c:axId val="1"/>
      </c:barChart>
      <c:catAx>
        <c:axId val="48965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999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9999FF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9650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993366"/>
        </a:solidFill>
        <a:ln w="3175">
          <a:solidFill>
            <a:srgbClr val="9999FF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8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00"/>
    </a:solidFill>
    <a:ln w="3175">
      <a:solidFill>
        <a:srgbClr val="9999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9999FF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1" u="none" strike="noStrike" baseline="0">
                <a:solidFill>
                  <a:schemeClr val="accent4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s-ES" baseline="0">
                <a:solidFill>
                  <a:schemeClr val="accent4">
                    <a:lumMod val="50000"/>
                  </a:schemeClr>
                </a:solidFill>
              </a:rPr>
              <a:t>COMPARATIVO CONSOLIDAD 2021  - PRESUPUESTO 2022
VALOR EXPRESADO EN EUROS</a:t>
            </a:r>
          </a:p>
        </c:rich>
      </c:tx>
      <c:layout>
        <c:manualLayout>
          <c:xMode val="edge"/>
          <c:yMode val="edge"/>
          <c:x val="1.059319303581324E-2"/>
          <c:y val="2.301775025157428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0"/>
      <c:rotY val="20"/>
      <c:depthPercent val="100"/>
      <c:rAngAx val="1"/>
    </c:view3D>
    <c:floor>
      <c:thickness val="0"/>
      <c:spPr>
        <a:solidFill>
          <a:srgbClr val="008080"/>
        </a:solidFill>
        <a:ln w="3175">
          <a:solidFill>
            <a:srgbClr val="9999FF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0000FF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00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8497361698183"/>
          <c:y val="0.16007939894956583"/>
          <c:w val="0.69230893714126795"/>
          <c:h val="0.68181966219259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Gráficos'!$B$2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2C-4B61-952C-68FCD1BF6428}"/>
              </c:ext>
            </c:extLst>
          </c:dPt>
          <c:cat>
            <c:strRef>
              <c:f>'Datos Gráficos'!$A$3:$A$7</c:f>
              <c:strCache>
                <c:ptCount val="5"/>
                <c:pt idx="0">
                  <c:v>   1. Aportac. Voluntaria de los Fieles </c:v>
                </c:pt>
                <c:pt idx="1">
                  <c:v>   2. Aportación Voluntaria por Asignación Tributaria </c:v>
                </c:pt>
                <c:pt idx="2">
                  <c:v>   3. Ingresos de Patrimonio y Otras Actividades </c:v>
                </c:pt>
                <c:pt idx="3">
                  <c:v>   4. Ingresos Diversos </c:v>
                </c:pt>
                <c:pt idx="4">
                  <c:v>   5. Ingresos Extraordinarios</c:v>
                </c:pt>
              </c:strCache>
            </c:strRef>
          </c:cat>
          <c:val>
            <c:numRef>
              <c:f>'Datos Gráficos'!$B$3:$B$7</c:f>
              <c:numCache>
                <c:formatCode>#,##0.00</c:formatCode>
                <c:ptCount val="5"/>
                <c:pt idx="0">
                  <c:v>817395.6</c:v>
                </c:pt>
                <c:pt idx="1">
                  <c:v>3231618.7100000004</c:v>
                </c:pt>
                <c:pt idx="2">
                  <c:v>379928.27999999997</c:v>
                </c:pt>
                <c:pt idx="3">
                  <c:v>284520.59000000003</c:v>
                </c:pt>
                <c:pt idx="4">
                  <c:v>923290.04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C-4B61-952C-68FCD1BF6428}"/>
            </c:ext>
          </c:extLst>
        </c:ser>
        <c:ser>
          <c:idx val="1"/>
          <c:order val="1"/>
          <c:tx>
            <c:strRef>
              <c:f>'Datos Gráficos'!$C$2</c:f>
              <c:strCache>
                <c:ptCount val="1"/>
                <c:pt idx="0">
                  <c:v>2022</c:v>
                </c:pt>
              </c:strCache>
            </c:strRef>
          </c:tx>
          <c:spPr>
            <a:pattFill prst="weave">
              <a:fgClr>
                <a:srgbClr val="FF6600"/>
              </a:fgClr>
              <a:bgClr>
                <a:srgbClr val="FFFFCC"/>
              </a:bgClr>
            </a:pattFill>
            <a:ln w="12700">
              <a:solidFill>
                <a:srgbClr val="9999FF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pattFill prst="weave">
                <a:fgClr>
                  <a:srgbClr val="FF6600"/>
                </a:fgClr>
                <a:bgClr>
                  <a:srgbClr val="FFCC99"/>
                </a:bgClr>
              </a:patt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32C-4B61-952C-68FCD1BF6428}"/>
              </c:ext>
            </c:extLst>
          </c:dPt>
          <c:cat>
            <c:strRef>
              <c:f>'Datos Gráficos'!$A$3:$A$7</c:f>
              <c:strCache>
                <c:ptCount val="5"/>
                <c:pt idx="0">
                  <c:v>   1. Aportac. Voluntaria de los Fieles </c:v>
                </c:pt>
                <c:pt idx="1">
                  <c:v>   2. Aportación Voluntaria por Asignación Tributaria </c:v>
                </c:pt>
                <c:pt idx="2">
                  <c:v>   3. Ingresos de Patrimonio y Otras Actividades </c:v>
                </c:pt>
                <c:pt idx="3">
                  <c:v>   4. Ingresos Diversos </c:v>
                </c:pt>
                <c:pt idx="4">
                  <c:v>   5. Ingresos Extraordinarios</c:v>
                </c:pt>
              </c:strCache>
            </c:strRef>
          </c:cat>
          <c:val>
            <c:numRef>
              <c:f>'Datos Gráficos'!$C$3:$C$7</c:f>
              <c:numCache>
                <c:formatCode>#,##0.00</c:formatCode>
                <c:ptCount val="5"/>
                <c:pt idx="0">
                  <c:v>849900</c:v>
                </c:pt>
                <c:pt idx="1">
                  <c:v>3341470</c:v>
                </c:pt>
                <c:pt idx="2">
                  <c:v>405755</c:v>
                </c:pt>
                <c:pt idx="3">
                  <c:v>253905</c:v>
                </c:pt>
                <c:pt idx="4">
                  <c:v>375990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C-4B61-952C-68FCD1BF6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9124096"/>
        <c:axId val="1"/>
        <c:axId val="0"/>
      </c:bar3DChart>
      <c:catAx>
        <c:axId val="48912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999FF"/>
            </a:solidFill>
            <a:prstDash val="solid"/>
          </a:ln>
        </c:spPr>
        <c:txPr>
          <a:bodyPr rot="0" vert="horz"/>
          <a:lstStyle/>
          <a:p>
            <a:pPr>
              <a:defRPr sz="600" b="1" i="1" u="none" strike="noStrike" baseline="0">
                <a:solidFill>
                  <a:srgbClr val="9999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999FF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9999FF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9999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9124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870854113775877"/>
          <c:y val="0.47233305323000624"/>
          <c:w val="9.0016581397047157E-2"/>
          <c:h val="0.13043504196362804"/>
        </c:manualLayout>
      </c:layout>
      <c:overlay val="0"/>
      <c:spPr>
        <a:solidFill>
          <a:srgbClr val="FFFF00"/>
        </a:solidFill>
        <a:ln w="3175">
          <a:solidFill>
            <a:srgbClr val="9999FF"/>
          </a:solidFill>
          <a:prstDash val="solid"/>
        </a:ln>
      </c:spPr>
      <c:txPr>
        <a:bodyPr/>
        <a:lstStyle/>
        <a:p>
          <a:pPr>
            <a:defRPr sz="600" b="1" i="1" u="none" strike="noStrike" baseline="0">
              <a:solidFill>
                <a:schemeClr val="accent4">
                  <a:lumMod val="50000"/>
                </a:schemeClr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3175">
      <a:solidFill>
        <a:srgbClr val="9999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9999FF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1" u="none" strike="noStrike" baseline="0">
                <a:solidFill>
                  <a:schemeClr val="accent4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s-ES" baseline="0">
                <a:solidFill>
                  <a:schemeClr val="accent4">
                    <a:lumMod val="50000"/>
                  </a:schemeClr>
                </a:solidFill>
              </a:rPr>
              <a:t>PORCENTAJES DE  DISTRIBUCIÓN DE LOS INGRESOS
PRESUPUESTO 2022</a:t>
            </a:r>
          </a:p>
        </c:rich>
      </c:tx>
      <c:layout>
        <c:manualLayout>
          <c:xMode val="edge"/>
          <c:yMode val="edge"/>
          <c:x val="1.1013167845544731E-2"/>
          <c:y val="2.55752492400900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067831537584921"/>
          <c:y val="0.37549488642490747"/>
          <c:w val="0.60000148967530875"/>
          <c:h val="0.27865673150479975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12700">
              <a:solidFill>
                <a:srgbClr val="9999FF"/>
              </a:solidFill>
              <a:prstDash val="solid"/>
            </a:ln>
          </c:spPr>
          <c:explosion val="44"/>
          <c:dPt>
            <c:idx val="0"/>
            <c:bubble3D val="0"/>
            <c:explosion val="0"/>
            <c:spPr>
              <a:gradFill rotWithShape="0">
                <a:gsLst>
                  <a:gs pos="0">
                    <a:srgbClr val="CCCCFF"/>
                  </a:gs>
                  <a:gs pos="17999">
                    <a:srgbClr val="99CCFF"/>
                  </a:gs>
                  <a:gs pos="36000">
                    <a:srgbClr val="9966FF"/>
                  </a:gs>
                  <a:gs pos="61000">
                    <a:srgbClr val="CC99FF"/>
                  </a:gs>
                  <a:gs pos="82001">
                    <a:srgbClr val="99CCFF"/>
                  </a:gs>
                  <a:gs pos="100000">
                    <a:srgbClr val="CCCCFF"/>
                  </a:gs>
                </a:gsLst>
                <a:lin ang="5400000" scaled="1"/>
              </a:grad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6AB-4824-A801-7AA562601B29}"/>
              </c:ext>
            </c:extLst>
          </c:dPt>
          <c:dPt>
            <c:idx val="1"/>
            <c:bubble3D val="0"/>
            <c:explosion val="47"/>
            <c:spPr>
              <a:pattFill prst="sphere">
                <a:fgClr>
                  <a:srgbClr val="9999FF"/>
                </a:fgClr>
                <a:bgClr>
                  <a:srgbClr val="FFFFFF"/>
                </a:bgClr>
              </a:patt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AB-4824-A801-7AA562601B29}"/>
              </c:ext>
            </c:extLst>
          </c:dPt>
          <c:dPt>
            <c:idx val="2"/>
            <c:bubble3D val="0"/>
            <c:explosion val="42"/>
            <c:spPr>
              <a:gradFill rotWithShape="0">
                <a:gsLst>
                  <a:gs pos="0">
                    <a:srgbClr val="000080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AB-4824-A801-7AA562601B29}"/>
              </c:ext>
            </c:extLst>
          </c:dPt>
          <c:dPt>
            <c:idx val="3"/>
            <c:bubble3D val="0"/>
            <c:explosion val="62"/>
            <c:spPr>
              <a:pattFill prst="pct30">
                <a:fgClr>
                  <a:srgbClr val="FF6600"/>
                </a:fgClr>
                <a:bgClr>
                  <a:srgbClr val="FFFFFF"/>
                </a:bgClr>
              </a:patt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AB-4824-A801-7AA562601B29}"/>
              </c:ext>
            </c:extLst>
          </c:dPt>
          <c:dPt>
            <c:idx val="4"/>
            <c:bubble3D val="0"/>
            <c:explosion val="55"/>
            <c:spPr>
              <a:gradFill rotWithShape="0">
                <a:gsLst>
                  <a:gs pos="0">
                    <a:srgbClr val="FC9FCB"/>
                  </a:gs>
                  <a:gs pos="13000">
                    <a:srgbClr val="F8B049"/>
                  </a:gs>
                  <a:gs pos="21001">
                    <a:srgbClr val="F8B049"/>
                  </a:gs>
                  <a:gs pos="63000">
                    <a:srgbClr val="FEE7F2"/>
                  </a:gs>
                  <a:gs pos="67000">
                    <a:srgbClr val="F952A0"/>
                  </a:gs>
                  <a:gs pos="69000">
                    <a:srgbClr val="C50849"/>
                  </a:gs>
                  <a:gs pos="82001">
                    <a:srgbClr val="B43E85"/>
                  </a:gs>
                  <a:gs pos="100000">
                    <a:srgbClr val="F8B049"/>
                  </a:gs>
                </a:gsLst>
                <a:lin ang="5400000" scaled="1"/>
              </a:grad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AB-4824-A801-7AA562601B29}"/>
              </c:ext>
            </c:extLst>
          </c:dPt>
          <c:dLbls>
            <c:dLbl>
              <c:idx val="0"/>
              <c:layout>
                <c:manualLayout>
                  <c:x val="-2.541966564656381E-2"/>
                  <c:y val="-0.11971528525352634"/>
                </c:manualLayout>
              </c:layout>
              <c:numFmt formatCode="0.00%" sourceLinked="0"/>
              <c:spPr>
                <a:solidFill>
                  <a:srgbClr val="993366"/>
                </a:solidFill>
                <a:ln w="3175">
                  <a:solidFill>
                    <a:srgbClr val="9999FF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AB-4824-A801-7AA562601B29}"/>
                </c:ext>
              </c:extLst>
            </c:dLbl>
            <c:dLbl>
              <c:idx val="1"/>
              <c:layout>
                <c:manualLayout>
                  <c:x val="-6.7545015831814451E-2"/>
                  <c:y val="2.4909817184818866E-2"/>
                </c:manualLayout>
              </c:layout>
              <c:numFmt formatCode="0.00%" sourceLinked="0"/>
              <c:spPr>
                <a:solidFill>
                  <a:srgbClr val="993366"/>
                </a:solidFill>
                <a:ln w="3175">
                  <a:solidFill>
                    <a:srgbClr val="9999FF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AB-4824-A801-7AA562601B29}"/>
                </c:ext>
              </c:extLst>
            </c:dLbl>
            <c:dLbl>
              <c:idx val="2"/>
              <c:layout>
                <c:manualLayout>
                  <c:x val="-5.3327464104793582E-3"/>
                  <c:y val="0.10997830778690718"/>
                </c:manualLayout>
              </c:layout>
              <c:numFmt formatCode="0.00%" sourceLinked="0"/>
              <c:spPr>
                <a:solidFill>
                  <a:srgbClr val="993366"/>
                </a:solidFill>
                <a:ln w="3175">
                  <a:solidFill>
                    <a:srgbClr val="9999FF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AB-4824-A801-7AA562601B29}"/>
                </c:ext>
              </c:extLst>
            </c:dLbl>
            <c:dLbl>
              <c:idx val="3"/>
              <c:layout>
                <c:manualLayout>
                  <c:x val="3.8134284618741618E-2"/>
                  <c:y val="-7.5316567198458598E-2"/>
                </c:manualLayout>
              </c:layout>
              <c:numFmt formatCode="0.00%" sourceLinked="0"/>
              <c:spPr>
                <a:solidFill>
                  <a:srgbClr val="993366"/>
                </a:solidFill>
                <a:ln w="3175">
                  <a:solidFill>
                    <a:srgbClr val="9999FF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AB-4824-A801-7AA562601B29}"/>
                </c:ext>
              </c:extLst>
            </c:dLbl>
            <c:dLbl>
              <c:idx val="4"/>
              <c:layout>
                <c:manualLayout>
                  <c:x val="9.565060894416344E-2"/>
                  <c:y val="-0.10968627348945921"/>
                </c:manualLayout>
              </c:layout>
              <c:numFmt formatCode="0.00%" sourceLinked="0"/>
              <c:spPr>
                <a:solidFill>
                  <a:srgbClr val="993366"/>
                </a:solidFill>
                <a:ln w="3175">
                  <a:solidFill>
                    <a:srgbClr val="9999FF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AB-4824-A801-7AA562601B29}"/>
                </c:ext>
              </c:extLst>
            </c:dLbl>
            <c:numFmt formatCode="0.00%" sourceLinked="0"/>
            <c:spPr>
              <a:solidFill>
                <a:srgbClr val="993366"/>
              </a:solidFill>
              <a:ln w="3175">
                <a:solidFill>
                  <a:srgbClr val="9999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1" u="none" strike="noStrike" baseline="0">
                    <a:solidFill>
                      <a:srgbClr val="FFFF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'Datos Gráficos'!$A$11:$A$15</c:f>
              <c:strCache>
                <c:ptCount val="5"/>
                <c:pt idx="0">
                  <c:v>   1. Aportac. Voluntaria de los Fieles </c:v>
                </c:pt>
                <c:pt idx="1">
                  <c:v>   2. Aportación Voluntaria por Asignación Tributaria </c:v>
                </c:pt>
                <c:pt idx="2">
                  <c:v>   3. Ingresos de Patrimonio y Otras Actividades </c:v>
                </c:pt>
                <c:pt idx="3">
                  <c:v>   4. Ingresos Diversos </c:v>
                </c:pt>
                <c:pt idx="4">
                  <c:v>   5. Ingresos Extraordinarios</c:v>
                </c:pt>
              </c:strCache>
            </c:strRef>
          </c:cat>
          <c:val>
            <c:numRef>
              <c:f>'Datos Gráficos'!$B$11:$B$15</c:f>
              <c:numCache>
                <c:formatCode>#,##0.00</c:formatCode>
                <c:ptCount val="5"/>
                <c:pt idx="0">
                  <c:v>849900</c:v>
                </c:pt>
                <c:pt idx="1">
                  <c:v>3341470</c:v>
                </c:pt>
                <c:pt idx="2">
                  <c:v>405755</c:v>
                </c:pt>
                <c:pt idx="3">
                  <c:v>253905</c:v>
                </c:pt>
                <c:pt idx="4">
                  <c:v>375990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B-4824-A801-7AA562601B29}"/>
            </c:ext>
          </c:extLst>
        </c:ser>
        <c:dLbls>
          <c:showLegendKey val="1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17127096401089"/>
          <c:y val="0.21739182305769086"/>
          <c:w val="0.26779727745896165"/>
          <c:h val="0.61462580270351574"/>
        </c:manualLayout>
      </c:layout>
      <c:overlay val="0"/>
      <c:spPr>
        <a:solidFill>
          <a:srgbClr val="FFC000"/>
        </a:solidFill>
        <a:ln w="3175">
          <a:solidFill>
            <a:srgbClr val="9999FF"/>
          </a:solidFill>
          <a:prstDash val="solid"/>
        </a:ln>
      </c:spPr>
      <c:txPr>
        <a:bodyPr/>
        <a:lstStyle/>
        <a:p>
          <a:pPr>
            <a:defRPr sz="600" b="1" i="1" u="none" strike="noStrike" baseline="0">
              <a:solidFill>
                <a:srgbClr val="7030A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accent3">
        <a:lumMod val="60000"/>
        <a:lumOff val="40000"/>
      </a:schemeClr>
    </a:solidFill>
    <a:ln w="3175">
      <a:solidFill>
        <a:srgbClr val="9999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9999FF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9999FF"/>
                </a:gs>
                <a:gs pos="100000">
                  <a:srgbClr val="EBEBFF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F-4B56-ABB1-B24BA3BE96F0}"/>
            </c:ext>
          </c:extLst>
        </c:ser>
        <c:ser>
          <c:idx val="1"/>
          <c:order val="1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993366"/>
                </a:gs>
                <a:gs pos="100000">
                  <a:srgbClr val="EBD7E1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F-4B56-ABB1-B24BA3BE96F0}"/>
            </c:ext>
          </c:extLst>
        </c:ser>
        <c:ser>
          <c:idx val="2"/>
          <c:order val="2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FFFFCC"/>
                </a:gs>
                <a:gs pos="100000">
                  <a:srgbClr val="FFFFF5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F-4B56-ABB1-B24BA3BE96F0}"/>
            </c:ext>
          </c:extLst>
        </c:ser>
        <c:ser>
          <c:idx val="3"/>
          <c:order val="3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CCFFFF"/>
                </a:gs>
                <a:gs pos="100000">
                  <a:srgbClr val="F5FFFF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F-4B56-ABB1-B24BA3BE96F0}"/>
            </c:ext>
          </c:extLst>
        </c:ser>
        <c:ser>
          <c:idx val="4"/>
          <c:order val="4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660066"/>
                </a:gs>
                <a:gs pos="100000">
                  <a:srgbClr val="E1CCE1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F-4B56-ABB1-B24BA3BE96F0}"/>
            </c:ext>
          </c:extLst>
        </c:ser>
        <c:ser>
          <c:idx val="5"/>
          <c:order val="5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FF8080"/>
                </a:gs>
                <a:gs pos="100000">
                  <a:srgbClr val="FFE6E6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4F-4B56-ABB1-B24BA3BE96F0}"/>
            </c:ext>
          </c:extLst>
        </c:ser>
        <c:ser>
          <c:idx val="6"/>
          <c:order val="6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0066CC"/>
                </a:gs>
                <a:gs pos="100000">
                  <a:srgbClr val="CCE1F5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4F-4B56-ABB1-B24BA3BE96F0}"/>
            </c:ext>
          </c:extLst>
        </c:ser>
        <c:ser>
          <c:idx val="7"/>
          <c:order val="7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CCCCFF"/>
                </a:gs>
                <a:gs pos="100000">
                  <a:srgbClr val="FDFDFF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4F-4B56-ABB1-B24BA3BE96F0}"/>
            </c:ext>
          </c:extLst>
        </c:ser>
        <c:ser>
          <c:idx val="8"/>
          <c:order val="8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000080"/>
                </a:gs>
                <a:gs pos="100000">
                  <a:srgbClr val="CCCCE6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4F-4B56-ABB1-B24BA3BE96F0}"/>
            </c:ext>
          </c:extLst>
        </c:ser>
        <c:ser>
          <c:idx val="9"/>
          <c:order val="9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FF00FF"/>
                </a:gs>
                <a:gs pos="100000">
                  <a:srgbClr val="FFE5FF"/>
                </a:gs>
              </a:gsLst>
              <a:lin ang="54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4F-4B56-ABB1-B24BA3BE96F0}"/>
            </c:ext>
          </c:extLst>
        </c:ser>
        <c:ser>
          <c:idx val="10"/>
          <c:order val="10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4F-4B56-ABB1-B24BA3BE96F0}"/>
            </c:ext>
          </c:extLst>
        </c:ser>
        <c:ser>
          <c:idx val="15"/>
          <c:order val="11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A4F-4B56-ABB1-B24BA3BE96F0}"/>
            </c:ext>
          </c:extLst>
        </c:ser>
        <c:ser>
          <c:idx val="16"/>
          <c:order val="12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4472C4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A4F-4B56-ABB1-B24BA3BE96F0}"/>
            </c:ext>
          </c:extLst>
        </c:ser>
        <c:ser>
          <c:idx val="17"/>
          <c:order val="13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A4F-4B56-ABB1-B24BA3BE96F0}"/>
            </c:ext>
          </c:extLst>
        </c:ser>
        <c:ser>
          <c:idx val="18"/>
          <c:order val="14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A4F-4B56-ABB1-B24BA3BE96F0}"/>
            </c:ext>
          </c:extLst>
        </c:ser>
        <c:ser>
          <c:idx val="19"/>
          <c:order val="15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A4F-4B56-ABB1-B24BA3BE96F0}"/>
            </c:ext>
          </c:extLst>
        </c:ser>
        <c:ser>
          <c:idx val="11"/>
          <c:order val="16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A4F-4B56-ABB1-B24BA3BE96F0}"/>
            </c:ext>
          </c:extLst>
        </c:ser>
        <c:ser>
          <c:idx val="20"/>
          <c:order val="17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4F-4B56-ABB1-B24BA3BE96F0}"/>
            </c:ext>
          </c:extLst>
        </c:ser>
        <c:ser>
          <c:idx val="21"/>
          <c:order val="18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4F-4B56-ABB1-B24BA3BE96F0}"/>
            </c:ext>
          </c:extLst>
        </c:ser>
        <c:ser>
          <c:idx val="22"/>
          <c:order val="19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2F5597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A4F-4B56-ABB1-B24BA3BE96F0}"/>
            </c:ext>
          </c:extLst>
        </c:ser>
        <c:ser>
          <c:idx val="23"/>
          <c:order val="20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4F-4B56-ABB1-B24BA3BE96F0}"/>
            </c:ext>
          </c:extLst>
        </c:ser>
        <c:ser>
          <c:idx val="24"/>
          <c:order val="21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A4F-4B56-ABB1-B24BA3BE96F0}"/>
            </c:ext>
          </c:extLst>
        </c:ser>
        <c:ser>
          <c:idx val="25"/>
          <c:order val="22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A4F-4B56-ABB1-B24BA3BE96F0}"/>
            </c:ext>
          </c:extLst>
        </c:ser>
        <c:ser>
          <c:idx val="26"/>
          <c:order val="23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A4F-4B56-ABB1-B24BA3BE96F0}"/>
            </c:ext>
          </c:extLst>
        </c:ser>
        <c:ser>
          <c:idx val="27"/>
          <c:order val="24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A4F-4B56-ABB1-B24BA3BE96F0}"/>
            </c:ext>
          </c:extLst>
        </c:ser>
        <c:ser>
          <c:idx val="28"/>
          <c:order val="25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A4F-4B56-ABB1-B24BA3BE96F0}"/>
            </c:ext>
          </c:extLst>
        </c:ser>
        <c:ser>
          <c:idx val="29"/>
          <c:order val="26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A4F-4B56-ABB1-B24BA3BE96F0}"/>
            </c:ext>
          </c:extLst>
        </c:ser>
        <c:ser>
          <c:idx val="30"/>
          <c:order val="27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2F5597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A4F-4B56-ABB1-B24BA3BE96F0}"/>
            </c:ext>
          </c:extLst>
        </c:ser>
        <c:ser>
          <c:idx val="31"/>
          <c:order val="28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CA4F-4B56-ABB1-B24BA3BE96F0}"/>
            </c:ext>
          </c:extLst>
        </c:ser>
        <c:ser>
          <c:idx val="12"/>
          <c:order val="29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A4F-4B56-ABB1-B24BA3BE96F0}"/>
            </c:ext>
          </c:extLst>
        </c:ser>
        <c:ser>
          <c:idx val="32"/>
          <c:order val="30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A4F-4B56-ABB1-B24BA3BE96F0}"/>
            </c:ext>
          </c:extLst>
        </c:ser>
        <c:ser>
          <c:idx val="33"/>
          <c:order val="31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A4F-4B56-ABB1-B24BA3BE96F0}"/>
            </c:ext>
          </c:extLst>
        </c:ser>
        <c:ser>
          <c:idx val="34"/>
          <c:order val="32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A4F-4B56-ABB1-B24BA3BE96F0}"/>
            </c:ext>
          </c:extLst>
        </c:ser>
        <c:ser>
          <c:idx val="35"/>
          <c:order val="33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A4F-4B56-ABB1-B24BA3BE96F0}"/>
            </c:ext>
          </c:extLst>
        </c:ser>
        <c:ser>
          <c:idx val="36"/>
          <c:order val="34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A4F-4B56-ABB1-B24BA3BE96F0}"/>
            </c:ext>
          </c:extLst>
        </c:ser>
        <c:ser>
          <c:idx val="37"/>
          <c:order val="35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D0CECE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A4F-4B56-ABB1-B24BA3BE96F0}"/>
            </c:ext>
          </c:extLst>
        </c:ser>
        <c:ser>
          <c:idx val="13"/>
          <c:order val="36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CA4F-4B56-ABB1-B24BA3BE96F0}"/>
            </c:ext>
          </c:extLst>
        </c:ser>
        <c:ser>
          <c:idx val="38"/>
          <c:order val="37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A4F-4B56-ABB1-B24BA3BE96F0}"/>
            </c:ext>
          </c:extLst>
        </c:ser>
        <c:ser>
          <c:idx val="39"/>
          <c:order val="38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A4F-4B56-ABB1-B24BA3BE96F0}"/>
            </c:ext>
          </c:extLst>
        </c:ser>
        <c:ser>
          <c:idx val="40"/>
          <c:order val="39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4F-4B56-ABB1-B24BA3BE96F0}"/>
            </c:ext>
          </c:extLst>
        </c:ser>
        <c:ser>
          <c:idx val="41"/>
          <c:order val="40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CA4F-4B56-ABB1-B24BA3BE96F0}"/>
            </c:ext>
          </c:extLst>
        </c:ser>
        <c:ser>
          <c:idx val="42"/>
          <c:order val="41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A4F-4B56-ABB1-B24BA3BE96F0}"/>
            </c:ext>
          </c:extLst>
        </c:ser>
        <c:ser>
          <c:idx val="14"/>
          <c:order val="42"/>
          <c:tx>
            <c:strRef>
              <c:f>'Resumen Gastos'!#REF!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'Resumen Gastos'!#REF!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A4F-4B56-ABB1-B24BA3BE9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9999FF"/>
              </a:solidFill>
              <a:prstDash val="solid"/>
            </a:ln>
          </c:spPr>
        </c:serLines>
        <c:axId val="489651328"/>
        <c:axId val="1"/>
      </c:barChart>
      <c:catAx>
        <c:axId val="48965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999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9999FF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965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993366"/>
        </a:solidFill>
        <a:ln w="3175">
          <a:solidFill>
            <a:srgbClr val="9999FF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8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00"/>
    </a:solidFill>
    <a:ln w="3175">
      <a:solidFill>
        <a:srgbClr val="9999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9999FF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FFFF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COMPARATIVO CONSOLIDADO 2021 - PRESUPUESTO 2022 
VALOR EXPRESADO EN EUROS</a:t>
            </a:r>
          </a:p>
        </c:rich>
      </c:tx>
      <c:layout>
        <c:manualLayout>
          <c:xMode val="edge"/>
          <c:yMode val="edge"/>
          <c:x val="1.3029402026501071E-2"/>
          <c:y val="2.278466412401574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4"/>
      <c:rotY val="20"/>
      <c:depthPercent val="100"/>
      <c:rAngAx val="1"/>
    </c:view3D>
    <c:floor>
      <c:thickness val="0"/>
      <c:spPr>
        <a:solidFill>
          <a:srgbClr val="008080"/>
        </a:solidFill>
        <a:ln w="3175">
          <a:solidFill>
            <a:srgbClr val="9999FF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0000FF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00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7719396647682357E-2"/>
          <c:y val="0.2050784183670307"/>
          <c:w val="0.82122063718734994"/>
          <c:h val="0.570313315839742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Gráficos'!$B$18</c:f>
              <c:strCache>
                <c:ptCount val="1"/>
                <c:pt idx="0">
                  <c:v>2021</c:v>
                </c:pt>
              </c:strCache>
            </c:strRef>
          </c:tx>
          <c:spPr>
            <a:pattFill prst="horzBrick">
              <a:fgClr>
                <a:srgbClr val="FF6600"/>
              </a:fgClr>
              <a:bgClr>
                <a:srgbClr val="FFCC99"/>
              </a:bgClr>
            </a:patt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strRef>
              <c:f>'Datos Gráficos'!$A$19:$A$24</c:f>
              <c:strCache>
                <c:ptCount val="6"/>
                <c:pt idx="0">
                  <c:v>Acciones Pastorales y Asistenciales </c:v>
                </c:pt>
                <c:pt idx="1">
                  <c:v>Retribución Clero y Otro Personal Respons. Pastoral</c:v>
                </c:pt>
                <c:pt idx="2">
                  <c:v>Retribución Seglares </c:v>
                </c:pt>
                <c:pt idx="3">
                  <c:v>Aportación a los Centros de Formación</c:v>
                </c:pt>
                <c:pt idx="4">
                  <c:v>Conserv. Edificios y Gtos. de Funcionamiento </c:v>
                </c:pt>
                <c:pt idx="5">
                  <c:v>Gastos Extraordinarios </c:v>
                </c:pt>
              </c:strCache>
            </c:strRef>
          </c:cat>
          <c:val>
            <c:numRef>
              <c:f>'Datos Gráficos'!$B$19:$B$24</c:f>
              <c:numCache>
                <c:formatCode>#,##0.00</c:formatCode>
                <c:ptCount val="6"/>
                <c:pt idx="0">
                  <c:v>1135323.4799999997</c:v>
                </c:pt>
                <c:pt idx="1">
                  <c:v>1835010.4300000002</c:v>
                </c:pt>
                <c:pt idx="2">
                  <c:v>373437.99</c:v>
                </c:pt>
                <c:pt idx="3">
                  <c:v>214808.25</c:v>
                </c:pt>
                <c:pt idx="4">
                  <c:v>548010.56999999995</c:v>
                </c:pt>
                <c:pt idx="5">
                  <c:v>1309356.6300000001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F-44F9-AE38-23CA4B5A1875}"/>
            </c:ext>
          </c:extLst>
        </c:ser>
        <c:ser>
          <c:idx val="1"/>
          <c:order val="1"/>
          <c:tx>
            <c:strRef>
              <c:f>'Datos Gráficos'!$C$18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0">
              <a:gsLst>
                <a:gs pos="0">
                  <a:srgbClr val="008000"/>
                </a:gs>
                <a:gs pos="100000">
                  <a:srgbClr val="CCFFCC"/>
                </a:gs>
              </a:gsLst>
              <a:lin ang="2700000" scaled="1"/>
            </a:gradFill>
            <a:ln w="12700">
              <a:solidFill>
                <a:srgbClr val="9999FF"/>
              </a:solidFill>
              <a:prstDash val="solid"/>
            </a:ln>
          </c:spPr>
          <c:invertIfNegative val="0"/>
          <c:cat>
            <c:strRef>
              <c:f>'Datos Gráficos'!$A$19:$A$24</c:f>
              <c:strCache>
                <c:ptCount val="6"/>
                <c:pt idx="0">
                  <c:v>Acciones Pastorales y Asistenciales </c:v>
                </c:pt>
                <c:pt idx="1">
                  <c:v>Retribución Clero y Otro Personal Respons. Pastoral</c:v>
                </c:pt>
                <c:pt idx="2">
                  <c:v>Retribución Seglares </c:v>
                </c:pt>
                <c:pt idx="3">
                  <c:v>Aportación a los Centros de Formación</c:v>
                </c:pt>
                <c:pt idx="4">
                  <c:v>Conserv. Edificios y Gtos. de Funcionamiento </c:v>
                </c:pt>
                <c:pt idx="5">
                  <c:v>Gastos Extraordinarios </c:v>
                </c:pt>
              </c:strCache>
            </c:strRef>
          </c:cat>
          <c:val>
            <c:numRef>
              <c:f>'Datos Gráficos'!$C$19:$C$24</c:f>
              <c:numCache>
                <c:formatCode>#,##0.00</c:formatCode>
                <c:ptCount val="6"/>
                <c:pt idx="0">
                  <c:v>1182864</c:v>
                </c:pt>
                <c:pt idx="1">
                  <c:v>1825100</c:v>
                </c:pt>
                <c:pt idx="2">
                  <c:v>385000</c:v>
                </c:pt>
                <c:pt idx="3">
                  <c:v>215750</c:v>
                </c:pt>
                <c:pt idx="4">
                  <c:v>411815</c:v>
                </c:pt>
                <c:pt idx="5">
                  <c:v>280985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F-44F9-AE38-23CA4B5A1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9123016"/>
        <c:axId val="1"/>
        <c:axId val="0"/>
      </c:bar3DChart>
      <c:catAx>
        <c:axId val="48912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999FF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9999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999FF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9999FF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9999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9123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714384386162257"/>
          <c:y val="0.40820363763123363"/>
          <c:w val="0.10442784564210172"/>
          <c:h val="0.15820338131561679"/>
        </c:manualLayout>
      </c:layout>
      <c:overlay val="0"/>
      <c:spPr>
        <a:solidFill>
          <a:schemeClr val="accent2">
            <a:lumMod val="40000"/>
            <a:lumOff val="60000"/>
          </a:schemeClr>
        </a:solidFill>
        <a:ln w="3175">
          <a:solidFill>
            <a:srgbClr val="9999FF"/>
          </a:solidFill>
          <a:prstDash val="solid"/>
        </a:ln>
      </c:spPr>
      <c:txPr>
        <a:bodyPr/>
        <a:lstStyle/>
        <a:p>
          <a:pPr>
            <a:defRPr sz="600" b="1" i="1" u="none" strike="noStrike" baseline="0">
              <a:solidFill>
                <a:srgbClr val="7030A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3175">
      <a:solidFill>
        <a:srgbClr val="9999FF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9999FF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FFFF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PORCENTAJES DE  DISTRIBUCIÓN POR CAPÍTULOS DE LOS GASTOS
PRESUPUESTO 2022
</a:t>
            </a:r>
          </a:p>
        </c:rich>
      </c:tx>
      <c:layout>
        <c:manualLayout>
          <c:xMode val="edge"/>
          <c:yMode val="edge"/>
          <c:x val="9.2794713633088041E-2"/>
          <c:y val="2.47747994915269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837984072004983"/>
          <c:y val="0.39024473235708063"/>
          <c:w val="0.29555038210829976"/>
          <c:h val="0.2421607937394385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12700">
              <a:solidFill>
                <a:srgbClr val="9999FF"/>
              </a:solidFill>
              <a:prstDash val="solid"/>
            </a:ln>
          </c:spPr>
          <c:explosion val="27"/>
          <c:dPt>
            <c:idx val="0"/>
            <c:bubble3D val="0"/>
            <c:spPr>
              <a:pattFill prst="sphere">
                <a:fgClr>
                  <a:srgbClr val="CCFFCC"/>
                </a:fgClr>
                <a:bgClr>
                  <a:srgbClr val="660066"/>
                </a:bgClr>
              </a:patt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B72-4F9E-BB0F-7BEAC8A4AB7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72-4F9E-BB0F-7BEAC8A4AB72}"/>
              </c:ext>
            </c:extLst>
          </c:dPt>
          <c:dPt>
            <c:idx val="2"/>
            <c:bubble3D val="0"/>
            <c:spPr>
              <a:pattFill prst="wdUpDiag">
                <a:fgClr>
                  <a:srgbClr val="00FF00"/>
                </a:fgClr>
                <a:bgClr>
                  <a:srgbClr val="FFFFCC"/>
                </a:bgClr>
              </a:patt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72-4F9E-BB0F-7BEAC8A4AB72}"/>
              </c:ext>
            </c:extLst>
          </c:dPt>
          <c:dPt>
            <c:idx val="3"/>
            <c:bubble3D val="0"/>
            <c:spPr>
              <a:solidFill>
                <a:srgbClr val="D0CECE"/>
              </a:solid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72-4F9E-BB0F-7BEAC8A4AB72}"/>
              </c:ext>
            </c:extLst>
          </c:dPt>
          <c:dPt>
            <c:idx val="4"/>
            <c:bubble3D val="0"/>
            <c:spPr>
              <a:pattFill prst="horzBrick">
                <a:fgClr>
                  <a:srgbClr val="993300"/>
                </a:fgClr>
                <a:bgClr>
                  <a:srgbClr val="FFCC00"/>
                </a:bgClr>
              </a:patt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72-4F9E-BB0F-7BEAC8A4AB7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FFFF00"/>
                  </a:gs>
                </a:gsLst>
                <a:lin ang="5400000" scaled="1"/>
              </a:gradFill>
              <a:ln w="12700">
                <a:solidFill>
                  <a:srgbClr val="9999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72-4F9E-BB0F-7BEAC8A4AB72}"/>
              </c:ext>
            </c:extLst>
          </c:dPt>
          <c:dLbls>
            <c:dLbl>
              <c:idx val="0"/>
              <c:layout>
                <c:manualLayout>
                  <c:x val="5.9098981792834356E-2"/>
                  <c:y val="-6.3038920670412793E-2"/>
                </c:manualLayout>
              </c:layout>
              <c:numFmt formatCode="0.00%" sourceLinked="0"/>
              <c:spPr>
                <a:solidFill>
                  <a:srgbClr val="993366"/>
                </a:solidFill>
                <a:ln w="3175">
                  <a:solidFill>
                    <a:srgbClr val="9999FF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72-4F9E-BB0F-7BEAC8A4AB72}"/>
                </c:ext>
              </c:extLst>
            </c:dLbl>
            <c:dLbl>
              <c:idx val="1"/>
              <c:layout>
                <c:manualLayout>
                  <c:x val="-2.1598573103426798E-2"/>
                  <c:y val="0.17455993385890048"/>
                </c:manualLayout>
              </c:layout>
              <c:numFmt formatCode="0.00%" sourceLinked="0"/>
              <c:spPr>
                <a:solidFill>
                  <a:srgbClr val="993366"/>
                </a:solidFill>
                <a:ln w="3175">
                  <a:solidFill>
                    <a:srgbClr val="9999FF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72-4F9E-BB0F-7BEAC8A4AB72}"/>
                </c:ext>
              </c:extLst>
            </c:dLbl>
            <c:dLbl>
              <c:idx val="2"/>
              <c:layout>
                <c:manualLayout>
                  <c:x val="9.6802730975507123E-2"/>
                  <c:y val="0.3182118985201231"/>
                </c:manualLayout>
              </c:layout>
              <c:numFmt formatCode="0.00%" sourceLinked="0"/>
              <c:spPr>
                <a:solidFill>
                  <a:srgbClr val="993366"/>
                </a:solidFill>
                <a:ln w="3175">
                  <a:solidFill>
                    <a:srgbClr val="9999FF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72-4F9E-BB0F-7BEAC8A4AB72}"/>
                </c:ext>
              </c:extLst>
            </c:dLbl>
            <c:dLbl>
              <c:idx val="3"/>
              <c:layout>
                <c:manualLayout>
                  <c:x val="-6.7935635282212345E-2"/>
                  <c:y val="3.1791713754668827E-2"/>
                </c:manualLayout>
              </c:layout>
              <c:numFmt formatCode="0.00%" sourceLinked="0"/>
              <c:spPr>
                <a:solidFill>
                  <a:srgbClr val="993366"/>
                </a:solidFill>
                <a:ln w="3175">
                  <a:solidFill>
                    <a:srgbClr val="9999FF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72-4F9E-BB0F-7BEAC8A4AB72}"/>
                </c:ext>
              </c:extLst>
            </c:dLbl>
            <c:dLbl>
              <c:idx val="4"/>
              <c:layout>
                <c:manualLayout>
                  <c:x val="-3.2753652765968234E-2"/>
                  <c:y val="-0.17134635833982234"/>
                </c:manualLayout>
              </c:layout>
              <c:numFmt formatCode="0.00%" sourceLinked="0"/>
              <c:spPr>
                <a:solidFill>
                  <a:srgbClr val="993366"/>
                </a:solidFill>
                <a:ln w="3175">
                  <a:solidFill>
                    <a:srgbClr val="9999FF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72-4F9E-BB0F-7BEAC8A4AB72}"/>
                </c:ext>
              </c:extLst>
            </c:dLbl>
            <c:dLbl>
              <c:idx val="5"/>
              <c:layout>
                <c:manualLayout>
                  <c:x val="8.6991433570138027E-2"/>
                  <c:y val="-9.2712295714378182E-2"/>
                </c:manualLayout>
              </c:layout>
              <c:numFmt formatCode="0.00%" sourceLinked="0"/>
              <c:spPr>
                <a:solidFill>
                  <a:srgbClr val="993366"/>
                </a:solidFill>
                <a:ln w="3175">
                  <a:solidFill>
                    <a:srgbClr val="9999FF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FFFF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72-4F9E-BB0F-7BEAC8A4AB72}"/>
                </c:ext>
              </c:extLst>
            </c:dLbl>
            <c:numFmt formatCode="0.00%" sourceLinked="0"/>
            <c:spPr>
              <a:solidFill>
                <a:srgbClr val="993366"/>
              </a:solidFill>
              <a:ln w="3175">
                <a:solidFill>
                  <a:srgbClr val="9999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1" u="none" strike="noStrike" baseline="0">
                    <a:solidFill>
                      <a:srgbClr val="FFFF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'Datos Gráficos'!$A$27:$A$32</c:f>
              <c:strCache>
                <c:ptCount val="6"/>
                <c:pt idx="0">
                  <c:v>Acciones Pastorales y Asistenciales </c:v>
                </c:pt>
                <c:pt idx="1">
                  <c:v>Retribución Clero y Otro Personal Respons. Pastoral</c:v>
                </c:pt>
                <c:pt idx="2">
                  <c:v>Retribución Seglares </c:v>
                </c:pt>
                <c:pt idx="3">
                  <c:v>Aportación a los Centros de Formación</c:v>
                </c:pt>
                <c:pt idx="4">
                  <c:v>Conserv. Edificios y Gtos. de Funcionamiento </c:v>
                </c:pt>
                <c:pt idx="5">
                  <c:v>Gastos Extraordinarios </c:v>
                </c:pt>
              </c:strCache>
            </c:strRef>
          </c:cat>
          <c:val>
            <c:numRef>
              <c:f>'Datos Gráficos'!$B$27:$B$32</c:f>
              <c:numCache>
                <c:formatCode>#,##0.00</c:formatCode>
                <c:ptCount val="6"/>
                <c:pt idx="0">
                  <c:v>1182864</c:v>
                </c:pt>
                <c:pt idx="1">
                  <c:v>1825100</c:v>
                </c:pt>
                <c:pt idx="2">
                  <c:v>385000</c:v>
                </c:pt>
                <c:pt idx="3">
                  <c:v>215750</c:v>
                </c:pt>
                <c:pt idx="4">
                  <c:v>411815</c:v>
                </c:pt>
                <c:pt idx="5">
                  <c:v>280985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2-4F9E-BB0F-7BEAC8A4AB72}"/>
            </c:ext>
          </c:extLst>
        </c:ser>
        <c:dLbls>
          <c:showLegendKey val="1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62063904480452"/>
          <c:y val="0.4006977786313296"/>
          <c:w val="0.94962348849970579"/>
          <c:h val="0.87630844924872198"/>
        </c:manualLayout>
      </c:layout>
      <c:overlay val="0"/>
      <c:spPr>
        <a:solidFill>
          <a:schemeClr val="accent6">
            <a:lumMod val="40000"/>
            <a:lumOff val="60000"/>
          </a:schemeClr>
        </a:solidFill>
        <a:ln w="3175">
          <a:solidFill>
            <a:srgbClr val="9999FF"/>
          </a:solidFill>
          <a:prstDash val="solid"/>
        </a:ln>
      </c:spPr>
      <c:txPr>
        <a:bodyPr/>
        <a:lstStyle/>
        <a:p>
          <a:pPr>
            <a:defRPr sz="600" b="1" i="1" u="none" strike="noStrike" baseline="0">
              <a:solidFill>
                <a:schemeClr val="accent6">
                  <a:lumMod val="75000"/>
                </a:schemeClr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2">
        <a:lumMod val="75000"/>
      </a:schemeClr>
    </a:solidFill>
    <a:ln w="3175">
      <a:solidFill>
        <a:srgbClr val="9999FF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9999FF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922020</xdr:colOff>
      <xdr:row>0</xdr:row>
      <xdr:rowOff>0</xdr:rowOff>
    </xdr:to>
    <xdr:graphicFrame macro="">
      <xdr:nvGraphicFramePr>
        <xdr:cNvPr id="1603" name="Chart 1">
          <a:extLst>
            <a:ext uri="{FF2B5EF4-FFF2-40B4-BE49-F238E27FC236}">
              <a16:creationId xmlns:a16="http://schemas.microsoft.com/office/drawing/2014/main" id="{870E4939-595A-115F-2158-69C0122C2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6</xdr:row>
      <xdr:rowOff>137160</xdr:rowOff>
    </xdr:from>
    <xdr:to>
      <xdr:col>6</xdr:col>
      <xdr:colOff>175260</xdr:colOff>
      <xdr:row>29</xdr:row>
      <xdr:rowOff>137160</xdr:rowOff>
    </xdr:to>
    <xdr:graphicFrame macro="">
      <xdr:nvGraphicFramePr>
        <xdr:cNvPr id="3156099" name="Chart 1">
          <a:extLst>
            <a:ext uri="{FF2B5EF4-FFF2-40B4-BE49-F238E27FC236}">
              <a16:creationId xmlns:a16="http://schemas.microsoft.com/office/drawing/2014/main" id="{9B25E223-0284-A23C-C5FD-F4E0CD441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220980</xdr:colOff>
      <xdr:row>6</xdr:row>
      <xdr:rowOff>137160</xdr:rowOff>
    </xdr:from>
    <xdr:to>
      <xdr:col>11</xdr:col>
      <xdr:colOff>754380</xdr:colOff>
      <xdr:row>29</xdr:row>
      <xdr:rowOff>137160</xdr:rowOff>
    </xdr:to>
    <xdr:graphicFrame macro="">
      <xdr:nvGraphicFramePr>
        <xdr:cNvPr id="3156100" name="Chart 2">
          <a:extLst>
            <a:ext uri="{FF2B5EF4-FFF2-40B4-BE49-F238E27FC236}">
              <a16:creationId xmlns:a16="http://schemas.microsoft.com/office/drawing/2014/main" id="{CF372849-9229-F26A-CEEC-462A21F2B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107</xdr:row>
      <xdr:rowOff>0</xdr:rowOff>
    </xdr:from>
    <xdr:to>
      <xdr:col>9</xdr:col>
      <xdr:colOff>3421380</xdr:colOff>
      <xdr:row>107</xdr:row>
      <xdr:rowOff>76200</xdr:rowOff>
    </xdr:to>
    <xdr:pic>
      <xdr:nvPicPr>
        <xdr:cNvPr id="3405030" name="Picture 73">
          <a:extLst>
            <a:ext uri="{FF2B5EF4-FFF2-40B4-BE49-F238E27FC236}">
              <a16:creationId xmlns:a16="http://schemas.microsoft.com/office/drawing/2014/main" id="{2476B6A6-5D52-054E-E066-2711B0D42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7740" y="20977860"/>
          <a:ext cx="47091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9</xdr:col>
      <xdr:colOff>480060</xdr:colOff>
      <xdr:row>107</xdr:row>
      <xdr:rowOff>76200</xdr:rowOff>
    </xdr:to>
    <xdr:pic>
      <xdr:nvPicPr>
        <xdr:cNvPr id="3405031" name="Picture 84">
          <a:extLst>
            <a:ext uri="{FF2B5EF4-FFF2-40B4-BE49-F238E27FC236}">
              <a16:creationId xmlns:a16="http://schemas.microsoft.com/office/drawing/2014/main" id="{055FCD2D-6B9E-98D6-D405-CF40F60D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0977860"/>
          <a:ext cx="4724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9</xdr:col>
      <xdr:colOff>480060</xdr:colOff>
      <xdr:row>107</xdr:row>
      <xdr:rowOff>76200</xdr:rowOff>
    </xdr:to>
    <xdr:pic>
      <xdr:nvPicPr>
        <xdr:cNvPr id="3405032" name="Picture 85">
          <a:extLst>
            <a:ext uri="{FF2B5EF4-FFF2-40B4-BE49-F238E27FC236}">
              <a16:creationId xmlns:a16="http://schemas.microsoft.com/office/drawing/2014/main" id="{BBA77508-5D84-B8CE-0CC9-40E8ADFDE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0977860"/>
          <a:ext cx="4724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9</xdr:col>
      <xdr:colOff>480060</xdr:colOff>
      <xdr:row>107</xdr:row>
      <xdr:rowOff>76200</xdr:rowOff>
    </xdr:to>
    <xdr:pic>
      <xdr:nvPicPr>
        <xdr:cNvPr id="3405033" name="Picture 86">
          <a:extLst>
            <a:ext uri="{FF2B5EF4-FFF2-40B4-BE49-F238E27FC236}">
              <a16:creationId xmlns:a16="http://schemas.microsoft.com/office/drawing/2014/main" id="{6454E7BD-7747-D08C-B38D-0ABAA40D9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0977860"/>
          <a:ext cx="4724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9</xdr:col>
      <xdr:colOff>480060</xdr:colOff>
      <xdr:row>107</xdr:row>
      <xdr:rowOff>76200</xdr:rowOff>
    </xdr:to>
    <xdr:pic>
      <xdr:nvPicPr>
        <xdr:cNvPr id="3405034" name="Picture 87">
          <a:extLst>
            <a:ext uri="{FF2B5EF4-FFF2-40B4-BE49-F238E27FC236}">
              <a16:creationId xmlns:a16="http://schemas.microsoft.com/office/drawing/2014/main" id="{1DC025E7-3F83-6F16-4DA7-A34281DF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0977860"/>
          <a:ext cx="4724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6</xdr:col>
      <xdr:colOff>0</xdr:colOff>
      <xdr:row>107</xdr:row>
      <xdr:rowOff>76200</xdr:rowOff>
    </xdr:to>
    <xdr:pic>
      <xdr:nvPicPr>
        <xdr:cNvPr id="3405035" name="Picture 73">
          <a:extLst>
            <a:ext uri="{FF2B5EF4-FFF2-40B4-BE49-F238E27FC236}">
              <a16:creationId xmlns:a16="http://schemas.microsoft.com/office/drawing/2014/main" id="{39F7B8BD-74E7-4602-D216-1615AC8A4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0977860"/>
          <a:ext cx="14782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6</xdr:col>
      <xdr:colOff>0</xdr:colOff>
      <xdr:row>107</xdr:row>
      <xdr:rowOff>76200</xdr:rowOff>
    </xdr:to>
    <xdr:pic>
      <xdr:nvPicPr>
        <xdr:cNvPr id="3405036" name="Picture 73">
          <a:extLst>
            <a:ext uri="{FF2B5EF4-FFF2-40B4-BE49-F238E27FC236}">
              <a16:creationId xmlns:a16="http://schemas.microsoft.com/office/drawing/2014/main" id="{8DDE1886-9CD2-483B-88FA-1E36AF8E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0977860"/>
          <a:ext cx="14782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6</xdr:col>
      <xdr:colOff>0</xdr:colOff>
      <xdr:row>107</xdr:row>
      <xdr:rowOff>76200</xdr:rowOff>
    </xdr:to>
    <xdr:pic>
      <xdr:nvPicPr>
        <xdr:cNvPr id="3405037" name="Picture 73">
          <a:extLst>
            <a:ext uri="{FF2B5EF4-FFF2-40B4-BE49-F238E27FC236}">
              <a16:creationId xmlns:a16="http://schemas.microsoft.com/office/drawing/2014/main" id="{142F54FB-6E2B-6F58-4D5A-9039302BE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0977860"/>
          <a:ext cx="14782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6</xdr:col>
      <xdr:colOff>0</xdr:colOff>
      <xdr:row>107</xdr:row>
      <xdr:rowOff>76200</xdr:rowOff>
    </xdr:to>
    <xdr:pic>
      <xdr:nvPicPr>
        <xdr:cNvPr id="3405038" name="Picture 73">
          <a:extLst>
            <a:ext uri="{FF2B5EF4-FFF2-40B4-BE49-F238E27FC236}">
              <a16:creationId xmlns:a16="http://schemas.microsoft.com/office/drawing/2014/main" id="{8CD36CA7-7567-9B0A-4552-B1F9B24A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0977860"/>
          <a:ext cx="14782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906780</xdr:colOff>
      <xdr:row>0</xdr:row>
      <xdr:rowOff>0</xdr:rowOff>
    </xdr:to>
    <xdr:graphicFrame macro="">
      <xdr:nvGraphicFramePr>
        <xdr:cNvPr id="6722" name="Chart 1">
          <a:extLst>
            <a:ext uri="{FF2B5EF4-FFF2-40B4-BE49-F238E27FC236}">
              <a16:creationId xmlns:a16="http://schemas.microsoft.com/office/drawing/2014/main" id="{87BD640F-C2B8-227E-6732-8E5C47748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6</xdr:row>
      <xdr:rowOff>83820</xdr:rowOff>
    </xdr:from>
    <xdr:to>
      <xdr:col>11</xdr:col>
      <xdr:colOff>655320</xdr:colOff>
      <xdr:row>29</xdr:row>
      <xdr:rowOff>129540</xdr:rowOff>
    </xdr:to>
    <xdr:graphicFrame macro="">
      <xdr:nvGraphicFramePr>
        <xdr:cNvPr id="3160195" name="Chart 1">
          <a:extLst>
            <a:ext uri="{FF2B5EF4-FFF2-40B4-BE49-F238E27FC236}">
              <a16:creationId xmlns:a16="http://schemas.microsoft.com/office/drawing/2014/main" id="{212EA4A5-D53B-2AA6-3A1E-85DE3A876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47</xdr:row>
      <xdr:rowOff>160020</xdr:rowOff>
    </xdr:from>
    <xdr:to>
      <xdr:col>11</xdr:col>
      <xdr:colOff>624840</xdr:colOff>
      <xdr:row>74</xdr:row>
      <xdr:rowOff>7620</xdr:rowOff>
    </xdr:to>
    <xdr:graphicFrame macro="">
      <xdr:nvGraphicFramePr>
        <xdr:cNvPr id="3160196" name="Chart 2">
          <a:extLst>
            <a:ext uri="{FF2B5EF4-FFF2-40B4-BE49-F238E27FC236}">
              <a16:creationId xmlns:a16="http://schemas.microsoft.com/office/drawing/2014/main" id="{FBF828BD-E0C2-CAF7-8B84-8CB23DC1C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zoomScaleNormal="100" workbookViewId="0">
      <selection activeCell="L20" sqref="L20"/>
    </sheetView>
  </sheetViews>
  <sheetFormatPr baseColWidth="10" defaultColWidth="11.44140625" defaultRowHeight="15" x14ac:dyDescent="0.25"/>
  <cols>
    <col min="1" max="1" width="2.21875" style="1" customWidth="1"/>
    <col min="2" max="2" width="64.21875" style="1" customWidth="1"/>
    <col min="3" max="3" width="18.77734375" style="97" customWidth="1"/>
    <col min="4" max="4" width="1.21875" style="1" customWidth="1"/>
    <col min="5" max="5" width="18.77734375" style="97" customWidth="1"/>
    <col min="6" max="6" width="0.77734375" style="8" customWidth="1"/>
    <col min="7" max="7" width="18.77734375" style="97" customWidth="1"/>
    <col min="8" max="8" width="0.21875" style="21" hidden="1" customWidth="1"/>
    <col min="9" max="9" width="0.77734375" style="21" customWidth="1"/>
    <col min="10" max="10" width="18.77734375" style="97" customWidth="1"/>
    <col min="11" max="11" width="62.5546875" style="185" customWidth="1"/>
    <col min="12" max="12" width="11.77734375" style="141" bestFit="1" customWidth="1"/>
    <col min="13" max="16384" width="11.44140625" style="1"/>
  </cols>
  <sheetData>
    <row r="1" spans="1:18" s="79" customFormat="1" ht="30" x14ac:dyDescent="0.25">
      <c r="A1" s="337" t="s">
        <v>15</v>
      </c>
      <c r="B1" s="337"/>
      <c r="C1" s="337"/>
      <c r="D1" s="337"/>
      <c r="E1" s="337"/>
      <c r="F1" s="337"/>
      <c r="G1" s="337"/>
      <c r="H1" s="337"/>
      <c r="I1" s="337"/>
      <c r="J1" s="337"/>
      <c r="K1" s="325"/>
      <c r="L1" s="97"/>
    </row>
    <row r="2" spans="1:18" s="79" customFormat="1" ht="15.75" customHeight="1" x14ac:dyDescent="0.25">
      <c r="A2" s="338" t="s">
        <v>114</v>
      </c>
      <c r="B2" s="338"/>
      <c r="C2" s="338"/>
      <c r="D2" s="338"/>
      <c r="E2" s="338"/>
      <c r="F2" s="338"/>
      <c r="G2" s="338"/>
      <c r="H2" s="338"/>
      <c r="I2" s="338"/>
      <c r="J2" s="338"/>
      <c r="K2" s="325"/>
      <c r="L2" s="97"/>
    </row>
    <row r="3" spans="1:18" ht="4.5" customHeight="1" x14ac:dyDescent="0.25">
      <c r="A3" s="33"/>
      <c r="B3" s="33"/>
      <c r="D3" s="33"/>
      <c r="F3" s="126"/>
      <c r="H3" s="1"/>
      <c r="I3" s="1"/>
    </row>
    <row r="4" spans="1:18" ht="26.25" customHeight="1" x14ac:dyDescent="0.25">
      <c r="A4" s="339"/>
      <c r="B4" s="339"/>
      <c r="C4" s="339"/>
      <c r="D4" s="339"/>
      <c r="E4" s="339"/>
      <c r="F4" s="339"/>
      <c r="G4" s="339"/>
      <c r="H4" s="339"/>
      <c r="I4" s="339"/>
      <c r="J4" s="339"/>
    </row>
    <row r="5" spans="1:18" ht="22.8" x14ac:dyDescent="0.4">
      <c r="B5" s="344" t="s">
        <v>146</v>
      </c>
      <c r="C5" s="344"/>
      <c r="D5" s="344"/>
      <c r="E5" s="344"/>
      <c r="F5" s="344"/>
      <c r="G5" s="344"/>
      <c r="H5" s="344"/>
      <c r="I5" s="344"/>
      <c r="J5" s="344"/>
    </row>
    <row r="6" spans="1:18" ht="12" customHeight="1" thickBot="1" x14ac:dyDescent="0.3">
      <c r="B6" s="8"/>
      <c r="C6" s="98"/>
      <c r="D6" s="8"/>
      <c r="E6" s="98"/>
      <c r="G6" s="98"/>
      <c r="J6" s="98"/>
    </row>
    <row r="7" spans="1:18" ht="23.25" customHeight="1" x14ac:dyDescent="0.4">
      <c r="B7" s="22" t="s">
        <v>34</v>
      </c>
      <c r="C7" s="342" t="s">
        <v>213</v>
      </c>
      <c r="D7" s="227"/>
      <c r="E7" s="342" t="s">
        <v>197</v>
      </c>
      <c r="F7" s="197"/>
      <c r="G7" s="342" t="s">
        <v>215</v>
      </c>
      <c r="H7" s="26"/>
      <c r="I7" s="191"/>
      <c r="J7" s="342" t="s">
        <v>214</v>
      </c>
      <c r="K7" s="256"/>
      <c r="L7" s="150"/>
      <c r="M7" s="12"/>
      <c r="N7" s="12"/>
      <c r="O7" s="12"/>
      <c r="P7" s="12"/>
      <c r="Q7" s="12"/>
      <c r="R7" s="12"/>
    </row>
    <row r="8" spans="1:18" ht="16.5" customHeight="1" thickBot="1" x14ac:dyDescent="0.3">
      <c r="B8" s="182"/>
      <c r="C8" s="343"/>
      <c r="D8" s="228"/>
      <c r="E8" s="343"/>
      <c r="F8" s="198"/>
      <c r="G8" s="343"/>
      <c r="H8" s="26"/>
      <c r="I8" s="191"/>
      <c r="J8" s="343"/>
    </row>
    <row r="9" spans="1:18" s="33" customFormat="1" ht="21" customHeight="1" thickBot="1" x14ac:dyDescent="0.3">
      <c r="B9" s="87" t="s">
        <v>11</v>
      </c>
      <c r="C9" s="99">
        <f>SUM(C11:C21)</f>
        <v>871703.43000000017</v>
      </c>
      <c r="D9" s="229"/>
      <c r="E9" s="99">
        <f>SUM(E11:E21)</f>
        <v>914500</v>
      </c>
      <c r="F9" s="199"/>
      <c r="G9" s="99">
        <f>SUM(G11:G21)</f>
        <v>817395.6</v>
      </c>
      <c r="H9" s="37"/>
      <c r="I9" s="37"/>
      <c r="J9" s="99">
        <f>SUM(J11:J21)</f>
        <v>849900</v>
      </c>
      <c r="K9" s="186"/>
      <c r="L9" s="151"/>
    </row>
    <row r="10" spans="1:18" s="8" customFormat="1" ht="5.25" customHeight="1" thickBot="1" x14ac:dyDescent="0.35">
      <c r="B10" s="23"/>
      <c r="C10" s="20"/>
      <c r="D10" s="32"/>
      <c r="E10" s="20"/>
      <c r="F10" s="32"/>
      <c r="G10" s="20"/>
      <c r="H10" s="9"/>
      <c r="I10" s="9"/>
      <c r="J10" s="20"/>
      <c r="K10" s="187"/>
      <c r="L10" s="152"/>
    </row>
    <row r="11" spans="1:18" ht="13.8" x14ac:dyDescent="0.25">
      <c r="B11" s="304" t="s">
        <v>217</v>
      </c>
      <c r="C11" s="296">
        <v>344397.03</v>
      </c>
      <c r="D11" s="302"/>
      <c r="E11" s="163">
        <v>500000</v>
      </c>
      <c r="F11" s="192"/>
      <c r="G11" s="296">
        <f>450771.45+69750.56</f>
        <v>520522.01</v>
      </c>
      <c r="H11" s="164"/>
      <c r="I11" s="164"/>
      <c r="J11" s="163">
        <v>510000</v>
      </c>
      <c r="K11" s="223"/>
    </row>
    <row r="12" spans="1:18" ht="13.8" x14ac:dyDescent="0.25">
      <c r="B12" s="113" t="s">
        <v>206</v>
      </c>
      <c r="C12" s="294">
        <v>22087.06</v>
      </c>
      <c r="D12" s="302"/>
      <c r="E12" s="165">
        <v>250000</v>
      </c>
      <c r="F12" s="192"/>
      <c r="G12" s="292">
        <v>108157.22</v>
      </c>
      <c r="H12" s="164"/>
      <c r="I12" s="164"/>
      <c r="J12" s="165">
        <v>150000</v>
      </c>
      <c r="K12" s="223"/>
    </row>
    <row r="13" spans="1:18" ht="13.8" x14ac:dyDescent="0.25">
      <c r="B13" s="113" t="s">
        <v>208</v>
      </c>
      <c r="C13" s="294">
        <v>0</v>
      </c>
      <c r="D13" s="302"/>
      <c r="E13" s="165">
        <v>20000</v>
      </c>
      <c r="F13" s="192"/>
      <c r="G13" s="294">
        <v>22604.85</v>
      </c>
      <c r="H13" s="164"/>
      <c r="I13" s="164"/>
      <c r="J13" s="165">
        <v>22600</v>
      </c>
      <c r="K13" s="223"/>
    </row>
    <row r="14" spans="1:18" ht="14.25" customHeight="1" x14ac:dyDescent="0.25">
      <c r="B14" s="113" t="s">
        <v>198</v>
      </c>
      <c r="C14" s="294">
        <v>341265</v>
      </c>
      <c r="D14" s="302"/>
      <c r="E14" s="166">
        <v>0</v>
      </c>
      <c r="F14" s="192"/>
      <c r="G14" s="294">
        <v>648</v>
      </c>
      <c r="H14" s="167"/>
      <c r="I14" s="167"/>
      <c r="J14" s="166">
        <v>0</v>
      </c>
      <c r="K14" s="340"/>
      <c r="L14" s="341"/>
    </row>
    <row r="15" spans="1:18" ht="13.8" x14ac:dyDescent="0.25">
      <c r="B15" s="113" t="s">
        <v>199</v>
      </c>
      <c r="C15" s="294">
        <f>39815.9+2650</f>
        <v>42465.9</v>
      </c>
      <c r="D15" s="302"/>
      <c r="E15" s="165">
        <v>50000</v>
      </c>
      <c r="F15" s="192"/>
      <c r="G15" s="294">
        <f>52372.98+1600</f>
        <v>53972.98</v>
      </c>
      <c r="H15" s="164"/>
      <c r="I15" s="164"/>
      <c r="J15" s="165">
        <v>55000</v>
      </c>
      <c r="K15" s="223"/>
    </row>
    <row r="16" spans="1:18" ht="13.8" x14ac:dyDescent="0.25">
      <c r="B16" s="113" t="s">
        <v>200</v>
      </c>
      <c r="C16" s="294">
        <v>71644.399999999994</v>
      </c>
      <c r="D16" s="302"/>
      <c r="E16" s="166">
        <v>50000</v>
      </c>
      <c r="F16" s="192"/>
      <c r="G16" s="294">
        <v>71185.649999999994</v>
      </c>
      <c r="H16" s="167"/>
      <c r="I16" s="167"/>
      <c r="J16" s="166">
        <v>71500</v>
      </c>
      <c r="K16" s="223"/>
    </row>
    <row r="17" spans="2:12" ht="13.8" x14ac:dyDescent="0.25">
      <c r="B17" s="113" t="s">
        <v>201</v>
      </c>
      <c r="C17" s="294">
        <v>11218.75</v>
      </c>
      <c r="D17" s="302"/>
      <c r="E17" s="165">
        <v>12000</v>
      </c>
      <c r="F17" s="192"/>
      <c r="G17" s="294">
        <f>10155.44+37.31+500+128.47</f>
        <v>10821.22</v>
      </c>
      <c r="H17" s="164"/>
      <c r="I17" s="164"/>
      <c r="J17" s="165">
        <v>11000</v>
      </c>
      <c r="K17" s="223"/>
    </row>
    <row r="18" spans="2:12" ht="13.8" x14ac:dyDescent="0.25">
      <c r="B18" s="113" t="s">
        <v>202</v>
      </c>
      <c r="C18" s="295">
        <v>10622.39</v>
      </c>
      <c r="D18" s="302"/>
      <c r="E18" s="170">
        <v>12500</v>
      </c>
      <c r="F18" s="192"/>
      <c r="G18" s="295">
        <v>11544.24</v>
      </c>
      <c r="H18" s="164"/>
      <c r="I18" s="164"/>
      <c r="J18" s="170">
        <v>12000</v>
      </c>
      <c r="K18" s="223"/>
    </row>
    <row r="19" spans="2:12" ht="13.8" x14ac:dyDescent="0.25">
      <c r="B19" s="113" t="s">
        <v>203</v>
      </c>
      <c r="C19" s="295">
        <v>3279.3</v>
      </c>
      <c r="D19" s="302"/>
      <c r="E19" s="170">
        <v>2500</v>
      </c>
      <c r="F19" s="192"/>
      <c r="G19" s="295">
        <v>1301.25</v>
      </c>
      <c r="H19" s="164"/>
      <c r="I19" s="164"/>
      <c r="J19" s="170">
        <v>2500</v>
      </c>
      <c r="K19" s="223"/>
    </row>
    <row r="20" spans="2:12" ht="13.8" x14ac:dyDescent="0.25">
      <c r="B20" s="113" t="s">
        <v>205</v>
      </c>
      <c r="C20" s="295">
        <v>20506.23</v>
      </c>
      <c r="D20" s="302"/>
      <c r="E20" s="170">
        <v>14500</v>
      </c>
      <c r="F20" s="192"/>
      <c r="G20" s="295">
        <v>11244.76</v>
      </c>
      <c r="H20" s="164"/>
      <c r="I20" s="164"/>
      <c r="J20" s="170">
        <v>11300</v>
      </c>
      <c r="K20" s="223"/>
    </row>
    <row r="21" spans="2:12" ht="14.4" thickBot="1" x14ac:dyDescent="0.3">
      <c r="B21" s="114" t="s">
        <v>204</v>
      </c>
      <c r="C21" s="314">
        <f>3747.66+469.71</f>
        <v>4217.37</v>
      </c>
      <c r="D21" s="302"/>
      <c r="E21" s="168">
        <v>3000</v>
      </c>
      <c r="F21" s="192"/>
      <c r="G21" s="314">
        <f>1809.42+1016+2568</f>
        <v>5393.42</v>
      </c>
      <c r="H21" s="164"/>
      <c r="I21" s="164"/>
      <c r="J21" s="168">
        <v>4000</v>
      </c>
      <c r="K21" s="223"/>
    </row>
    <row r="22" spans="2:12" s="8" customFormat="1" ht="11.25" customHeight="1" thickBot="1" x14ac:dyDescent="0.3">
      <c r="B22" s="24"/>
      <c r="C22" s="17"/>
      <c r="D22" s="31"/>
      <c r="E22" s="17"/>
      <c r="F22" s="31"/>
      <c r="G22" s="17"/>
      <c r="H22" s="5"/>
      <c r="I22" s="5"/>
      <c r="J22" s="17"/>
      <c r="K22" s="187"/>
      <c r="L22" s="152"/>
    </row>
    <row r="23" spans="2:12" s="80" customFormat="1" ht="31.8" thickBot="1" x14ac:dyDescent="0.3">
      <c r="B23" s="158" t="s">
        <v>16</v>
      </c>
      <c r="C23" s="100">
        <f>SUM(C25:C28)</f>
        <v>3183391.19</v>
      </c>
      <c r="D23" s="231"/>
      <c r="E23" s="100">
        <f>SUM(E25:E28)</f>
        <v>3184450</v>
      </c>
      <c r="F23" s="200"/>
      <c r="G23" s="100">
        <f>SUM(G25:G28)</f>
        <v>3231618.7100000004</v>
      </c>
      <c r="H23" s="94"/>
      <c r="I23" s="94"/>
      <c r="J23" s="100">
        <f>SUM(J25:J28)</f>
        <v>3341470</v>
      </c>
      <c r="K23" s="186"/>
      <c r="L23" s="153"/>
    </row>
    <row r="24" spans="2:12" s="8" customFormat="1" ht="5.25" customHeight="1" thickBot="1" x14ac:dyDescent="0.35">
      <c r="B24" s="27"/>
      <c r="C24" s="16"/>
      <c r="D24" s="190"/>
      <c r="E24" s="16"/>
      <c r="F24" s="190"/>
      <c r="G24" s="16"/>
      <c r="H24" s="10"/>
      <c r="I24" s="10"/>
      <c r="J24" s="16"/>
      <c r="K24" s="187"/>
      <c r="L24" s="152"/>
    </row>
    <row r="25" spans="2:12" ht="13.8" x14ac:dyDescent="0.25">
      <c r="B25" s="40" t="s">
        <v>57</v>
      </c>
      <c r="C25" s="321">
        <f>2446705.28+351202</f>
        <v>2797907.28</v>
      </c>
      <c r="D25" s="232"/>
      <c r="E25" s="169">
        <v>2797900</v>
      </c>
      <c r="F25" s="193"/>
      <c r="G25" s="321">
        <v>2841418.99</v>
      </c>
      <c r="H25" s="164"/>
      <c r="I25" s="164"/>
      <c r="J25" s="334">
        <v>2951740</v>
      </c>
      <c r="K25" s="189"/>
      <c r="L25" s="142"/>
    </row>
    <row r="26" spans="2:12" ht="13.8" x14ac:dyDescent="0.25">
      <c r="B26" s="42" t="s">
        <v>58</v>
      </c>
      <c r="C26" s="294">
        <v>60865.06</v>
      </c>
      <c r="D26" s="232"/>
      <c r="E26" s="165">
        <v>60865</v>
      </c>
      <c r="F26" s="193"/>
      <c r="G26" s="294">
        <v>60865.06</v>
      </c>
      <c r="H26" s="164"/>
      <c r="I26" s="164"/>
      <c r="J26" s="165">
        <v>60865</v>
      </c>
      <c r="K26" s="189"/>
      <c r="L26" s="140"/>
    </row>
    <row r="27" spans="2:12" ht="13.8" x14ac:dyDescent="0.25">
      <c r="B27" s="42" t="s">
        <v>59</v>
      </c>
      <c r="C27" s="294">
        <v>60865.06</v>
      </c>
      <c r="D27" s="232"/>
      <c r="E27" s="165">
        <v>60685</v>
      </c>
      <c r="F27" s="193"/>
      <c r="G27" s="294">
        <v>60865.06</v>
      </c>
      <c r="H27" s="164"/>
      <c r="I27" s="164"/>
      <c r="J27" s="170">
        <v>60865</v>
      </c>
      <c r="K27" s="189"/>
      <c r="L27" s="140"/>
    </row>
    <row r="28" spans="2:12" ht="14.4" thickBot="1" x14ac:dyDescent="0.3">
      <c r="B28" s="43" t="s">
        <v>56</v>
      </c>
      <c r="C28" s="314">
        <v>263753.78999999998</v>
      </c>
      <c r="D28" s="232"/>
      <c r="E28" s="300">
        <v>265000</v>
      </c>
      <c r="F28" s="193"/>
      <c r="G28" s="314">
        <v>268469.59999999998</v>
      </c>
      <c r="H28" s="164"/>
      <c r="I28" s="164"/>
      <c r="J28" s="300">
        <v>268000</v>
      </c>
      <c r="K28" s="271"/>
      <c r="L28" s="142"/>
    </row>
    <row r="29" spans="2:12" s="8" customFormat="1" ht="18" customHeight="1" thickBot="1" x14ac:dyDescent="0.3">
      <c r="B29" s="31"/>
      <c r="C29" s="17"/>
      <c r="D29" s="31"/>
      <c r="E29" s="17"/>
      <c r="F29" s="31"/>
      <c r="G29" s="17"/>
      <c r="H29" s="5"/>
      <c r="I29" s="5"/>
      <c r="J29" s="17"/>
      <c r="K29" s="187"/>
      <c r="L29" s="152"/>
    </row>
    <row r="30" spans="2:12" s="33" customFormat="1" ht="21" customHeight="1" thickBot="1" x14ac:dyDescent="0.3">
      <c r="B30" s="276" t="s">
        <v>12</v>
      </c>
      <c r="C30" s="99">
        <f>SUM(C32:C48)</f>
        <v>360983.83999999997</v>
      </c>
      <c r="D30" s="229"/>
      <c r="E30" s="99">
        <f>SUM(E32:E48)</f>
        <v>344175</v>
      </c>
      <c r="F30" s="199"/>
      <c r="G30" s="99">
        <f>SUM(G32:G48)</f>
        <v>379928.27999999997</v>
      </c>
      <c r="H30" s="37"/>
      <c r="I30" s="37"/>
      <c r="J30" s="99">
        <f>SUM(J32:J48)</f>
        <v>405755</v>
      </c>
      <c r="K30" s="186"/>
      <c r="L30" s="151"/>
    </row>
    <row r="31" spans="2:12" s="8" customFormat="1" ht="11.25" customHeight="1" thickBot="1" x14ac:dyDescent="0.35">
      <c r="B31" s="32"/>
      <c r="C31" s="16"/>
      <c r="D31" s="32"/>
      <c r="E31" s="16"/>
      <c r="F31" s="32"/>
      <c r="G31" s="16"/>
      <c r="H31" s="10"/>
      <c r="I31" s="10"/>
      <c r="J31" s="16"/>
      <c r="K31" s="187"/>
      <c r="L31" s="152"/>
    </row>
    <row r="32" spans="2:12" ht="13.8" x14ac:dyDescent="0.25">
      <c r="B32" s="40" t="s">
        <v>115</v>
      </c>
      <c r="C32" s="296">
        <f>2570.24+1.1+192.51+18.23</f>
        <v>2782.0799999999995</v>
      </c>
      <c r="D32" s="232"/>
      <c r="E32" s="169">
        <v>2500</v>
      </c>
      <c r="F32" s="193"/>
      <c r="G32" s="296">
        <f>1154.07+689.62+418.3+17.78+187.5</f>
        <v>2467.2700000000004</v>
      </c>
      <c r="H32" s="164"/>
      <c r="I32" s="164"/>
      <c r="J32" s="169">
        <v>2500</v>
      </c>
      <c r="K32" s="223"/>
    </row>
    <row r="33" spans="2:13" ht="13.8" x14ac:dyDescent="0.25">
      <c r="B33" s="42" t="s">
        <v>60</v>
      </c>
      <c r="C33" s="294">
        <v>0</v>
      </c>
      <c r="D33" s="232"/>
      <c r="E33" s="165">
        <v>0</v>
      </c>
      <c r="F33" s="193"/>
      <c r="G33" s="294">
        <v>0</v>
      </c>
      <c r="H33" s="164"/>
      <c r="I33" s="164"/>
      <c r="J33" s="165">
        <v>0</v>
      </c>
      <c r="K33" s="223"/>
    </row>
    <row r="34" spans="2:13" ht="13.8" x14ac:dyDescent="0.25">
      <c r="B34" s="113" t="s">
        <v>61</v>
      </c>
      <c r="C34" s="294">
        <v>0</v>
      </c>
      <c r="D34" s="230"/>
      <c r="E34" s="165">
        <v>0</v>
      </c>
      <c r="F34" s="192"/>
      <c r="G34" s="294">
        <v>0</v>
      </c>
      <c r="H34" s="164"/>
      <c r="I34" s="164"/>
      <c r="J34" s="165">
        <v>0</v>
      </c>
      <c r="K34" s="254"/>
    </row>
    <row r="35" spans="2:13" ht="13.8" x14ac:dyDescent="0.25">
      <c r="B35" s="42" t="s">
        <v>174</v>
      </c>
      <c r="C35" s="294">
        <v>3426.84</v>
      </c>
      <c r="D35" s="232"/>
      <c r="E35" s="165">
        <v>3427</v>
      </c>
      <c r="F35" s="193"/>
      <c r="G35" s="294">
        <v>3426.84</v>
      </c>
      <c r="H35" s="164"/>
      <c r="I35" s="164"/>
      <c r="J35" s="165">
        <v>3427</v>
      </c>
      <c r="K35" s="254"/>
    </row>
    <row r="36" spans="2:13" ht="13.8" x14ac:dyDescent="0.25">
      <c r="B36" s="42" t="s">
        <v>62</v>
      </c>
      <c r="C36" s="294">
        <v>9926.0400000000009</v>
      </c>
      <c r="D36" s="232"/>
      <c r="E36" s="165">
        <v>9926</v>
      </c>
      <c r="F36" s="193"/>
      <c r="G36" s="294">
        <v>9926.0400000000009</v>
      </c>
      <c r="H36" s="164"/>
      <c r="I36" s="164"/>
      <c r="J36" s="165">
        <v>9926</v>
      </c>
      <c r="K36" s="254"/>
    </row>
    <row r="37" spans="2:13" ht="13.8" x14ac:dyDescent="0.25">
      <c r="B37" s="42" t="s">
        <v>141</v>
      </c>
      <c r="C37" s="295">
        <v>9822.48</v>
      </c>
      <c r="D37" s="232"/>
      <c r="E37" s="165">
        <v>9822</v>
      </c>
      <c r="F37" s="193"/>
      <c r="G37" s="295">
        <v>9822.48</v>
      </c>
      <c r="H37" s="164"/>
      <c r="I37" s="164"/>
      <c r="J37" s="165">
        <v>9822</v>
      </c>
      <c r="K37" s="254"/>
    </row>
    <row r="38" spans="2:13" ht="13.8" x14ac:dyDescent="0.25">
      <c r="B38" s="42" t="s">
        <v>145</v>
      </c>
      <c r="C38" s="294">
        <f>4200+350+15834+3150+1800+4900+600+600+600+600+12+5400+100+2800+4400+2250</f>
        <v>47596</v>
      </c>
      <c r="D38" s="232"/>
      <c r="E38" s="165">
        <v>35500</v>
      </c>
      <c r="F38" s="193"/>
      <c r="G38" s="294">
        <f>4200+4200+1800+4200+600+600+600+600+12+5400+2800+4800+5400+4200+4800+4800+350</f>
        <v>49362</v>
      </c>
      <c r="H38" s="164"/>
      <c r="I38" s="164"/>
      <c r="J38" s="165">
        <v>55810</v>
      </c>
      <c r="K38" s="254"/>
    </row>
    <row r="39" spans="2:13" ht="13.8" x14ac:dyDescent="0.25">
      <c r="B39" s="42" t="s">
        <v>138</v>
      </c>
      <c r="C39" s="294">
        <v>21945.75</v>
      </c>
      <c r="D39" s="232"/>
      <c r="E39" s="165">
        <v>20000</v>
      </c>
      <c r="F39" s="193"/>
      <c r="G39" s="294">
        <v>24660</v>
      </c>
      <c r="H39" s="178"/>
      <c r="I39" s="257"/>
      <c r="J39" s="165">
        <v>26820</v>
      </c>
      <c r="K39" s="254"/>
    </row>
    <row r="40" spans="2:13" ht="13.8" x14ac:dyDescent="0.25">
      <c r="B40" s="42" t="s">
        <v>139</v>
      </c>
      <c r="C40" s="294">
        <v>87297.59</v>
      </c>
      <c r="D40" s="232"/>
      <c r="E40" s="293">
        <v>100000</v>
      </c>
      <c r="F40" s="193"/>
      <c r="G40" s="294">
        <v>84882</v>
      </c>
      <c r="H40" s="178"/>
      <c r="I40" s="257"/>
      <c r="J40" s="293">
        <v>100000</v>
      </c>
      <c r="K40" s="254"/>
    </row>
    <row r="41" spans="2:13" ht="13.8" x14ac:dyDescent="0.25">
      <c r="B41" s="42" t="s">
        <v>142</v>
      </c>
      <c r="C41" s="294">
        <v>33607.279999999999</v>
      </c>
      <c r="D41" s="232"/>
      <c r="E41" s="165">
        <v>40000</v>
      </c>
      <c r="F41" s="193"/>
      <c r="G41" s="294">
        <v>41912</v>
      </c>
      <c r="H41" s="255"/>
      <c r="I41" s="257"/>
      <c r="J41" s="165">
        <v>42000</v>
      </c>
      <c r="K41" s="254"/>
    </row>
    <row r="42" spans="2:13" ht="13.8" x14ac:dyDescent="0.25">
      <c r="B42" s="42" t="s">
        <v>143</v>
      </c>
      <c r="C42" s="294">
        <v>3307</v>
      </c>
      <c r="D42" s="232"/>
      <c r="E42" s="170">
        <v>3000</v>
      </c>
      <c r="F42" s="193"/>
      <c r="G42" s="294">
        <v>3189</v>
      </c>
      <c r="H42" s="255"/>
      <c r="I42" s="257"/>
      <c r="J42" s="170">
        <v>3200</v>
      </c>
      <c r="K42" s="254"/>
    </row>
    <row r="43" spans="2:13" ht="14.25" customHeight="1" x14ac:dyDescent="0.25">
      <c r="B43" s="108" t="s">
        <v>140</v>
      </c>
      <c r="C43" s="294">
        <v>8200</v>
      </c>
      <c r="D43" s="232"/>
      <c r="E43" s="171">
        <v>5000</v>
      </c>
      <c r="F43" s="193"/>
      <c r="G43" s="294">
        <v>7750</v>
      </c>
      <c r="H43" s="179"/>
      <c r="I43" s="258"/>
      <c r="J43" s="171">
        <v>7750</v>
      </c>
      <c r="K43" s="254"/>
    </row>
    <row r="44" spans="2:13" ht="13.8" x14ac:dyDescent="0.25">
      <c r="B44" s="42" t="s">
        <v>116</v>
      </c>
      <c r="C44" s="295">
        <v>803.12</v>
      </c>
      <c r="D44" s="232"/>
      <c r="E44" s="170">
        <v>500</v>
      </c>
      <c r="F44" s="193"/>
      <c r="G44" s="295">
        <v>1390.13</v>
      </c>
      <c r="H44" s="164"/>
      <c r="I44" s="164"/>
      <c r="J44" s="170">
        <v>500</v>
      </c>
      <c r="K44" s="254"/>
    </row>
    <row r="45" spans="2:13" ht="13.8" x14ac:dyDescent="0.25">
      <c r="B45" s="42" t="s">
        <v>188</v>
      </c>
      <c r="C45" s="295">
        <v>115165.36</v>
      </c>
      <c r="D45" s="232"/>
      <c r="E45" s="170">
        <v>75000</v>
      </c>
      <c r="F45" s="193"/>
      <c r="G45" s="295">
        <v>122457.72</v>
      </c>
      <c r="H45" s="164"/>
      <c r="I45" s="164"/>
      <c r="J45" s="170">
        <v>122500</v>
      </c>
      <c r="K45" s="254"/>
    </row>
    <row r="46" spans="2:13" ht="13.8" x14ac:dyDescent="0.25">
      <c r="B46" s="42" t="s">
        <v>192</v>
      </c>
      <c r="C46" s="295">
        <v>17034</v>
      </c>
      <c r="D46" s="232"/>
      <c r="E46" s="298">
        <v>17500</v>
      </c>
      <c r="F46" s="193"/>
      <c r="G46" s="295">
        <v>12312.74</v>
      </c>
      <c r="H46" s="164"/>
      <c r="I46" s="164"/>
      <c r="J46" s="298">
        <v>15000</v>
      </c>
      <c r="K46" s="254"/>
    </row>
    <row r="47" spans="2:13" ht="13.8" x14ac:dyDescent="0.25">
      <c r="B47" s="42" t="s">
        <v>211</v>
      </c>
      <c r="C47" s="295">
        <v>0</v>
      </c>
      <c r="D47" s="232"/>
      <c r="E47" s="298">
        <v>17000</v>
      </c>
      <c r="F47" s="193"/>
      <c r="G47" s="295">
        <v>0</v>
      </c>
      <c r="H47" s="164"/>
      <c r="I47" s="164"/>
      <c r="J47" s="336">
        <v>0</v>
      </c>
      <c r="K47" s="254"/>
    </row>
    <row r="48" spans="2:13" ht="14.4" thickBot="1" x14ac:dyDescent="0.3">
      <c r="B48" s="43" t="s">
        <v>212</v>
      </c>
      <c r="C48" s="314">
        <f>70.3</f>
        <v>70.3</v>
      </c>
      <c r="D48" s="232"/>
      <c r="E48" s="168">
        <v>5000</v>
      </c>
      <c r="F48" s="193"/>
      <c r="G48" s="314">
        <f>891.7+345.6+4715.31+417.45</f>
        <v>6370.06</v>
      </c>
      <c r="H48" s="164"/>
      <c r="I48" s="164"/>
      <c r="J48" s="168">
        <v>6500</v>
      </c>
      <c r="K48" s="254"/>
      <c r="L48" s="143"/>
      <c r="M48" s="97"/>
    </row>
    <row r="49" spans="1:13" s="81" customFormat="1" ht="9" customHeight="1" thickBot="1" x14ac:dyDescent="0.3">
      <c r="B49" s="31"/>
      <c r="C49" s="17"/>
      <c r="D49" s="31"/>
      <c r="E49" s="17"/>
      <c r="F49" s="31"/>
      <c r="G49" s="17"/>
      <c r="H49" s="5"/>
      <c r="I49" s="5"/>
      <c r="J49" s="17"/>
      <c r="K49" s="185"/>
      <c r="L49" s="154"/>
    </row>
    <row r="50" spans="1:13" s="33" customFormat="1" ht="21" customHeight="1" thickBot="1" x14ac:dyDescent="0.3">
      <c r="B50" s="87" t="s">
        <v>13</v>
      </c>
      <c r="C50" s="99">
        <f>SUM(C52:C57)</f>
        <v>223594.63999999998</v>
      </c>
      <c r="D50" s="229"/>
      <c r="E50" s="99">
        <f>SUM(E52:E57)</f>
        <v>236545</v>
      </c>
      <c r="F50" s="199"/>
      <c r="G50" s="99">
        <f>SUM(G52:G57)</f>
        <v>284520.59000000003</v>
      </c>
      <c r="H50" s="37"/>
      <c r="I50" s="37"/>
      <c r="J50" s="99">
        <f>SUM(J52:J57)</f>
        <v>253905</v>
      </c>
      <c r="K50" s="185"/>
      <c r="L50" s="141"/>
      <c r="M50" s="1"/>
    </row>
    <row r="51" spans="1:13" s="8" customFormat="1" ht="3" customHeight="1" thickBot="1" x14ac:dyDescent="0.35">
      <c r="B51" s="32"/>
      <c r="C51" s="16"/>
      <c r="D51" s="32"/>
      <c r="E51" s="16"/>
      <c r="F51" s="32"/>
      <c r="G51" s="16"/>
      <c r="H51" s="10"/>
      <c r="I51" s="10"/>
      <c r="J51" s="16"/>
      <c r="K51" s="185"/>
      <c r="L51" s="141"/>
      <c r="M51" s="1"/>
    </row>
    <row r="52" spans="1:13" s="33" customFormat="1" ht="13.8" x14ac:dyDescent="0.25">
      <c r="B52" s="139" t="s">
        <v>68</v>
      </c>
      <c r="C52" s="296">
        <v>63300</v>
      </c>
      <c r="D52" s="233"/>
      <c r="E52" s="174">
        <v>72500</v>
      </c>
      <c r="F52" s="194"/>
      <c r="G52" s="296">
        <f>69388.49+34770</f>
        <v>104158.49</v>
      </c>
      <c r="H52" s="167"/>
      <c r="I52" s="167"/>
      <c r="J52" s="174">
        <v>86000</v>
      </c>
      <c r="K52" s="188"/>
      <c r="L52" s="141"/>
      <c r="M52" s="1"/>
    </row>
    <row r="53" spans="1:13" s="33" customFormat="1" ht="14.25" customHeight="1" x14ac:dyDescent="0.25">
      <c r="B53" s="138" t="s">
        <v>137</v>
      </c>
      <c r="C53" s="294">
        <v>132646.15</v>
      </c>
      <c r="D53" s="234"/>
      <c r="E53" s="172">
        <v>135000</v>
      </c>
      <c r="F53" s="195"/>
      <c r="G53" s="294">
        <v>139677.63</v>
      </c>
      <c r="H53" s="167"/>
      <c r="I53" s="167"/>
      <c r="J53" s="172">
        <v>140000</v>
      </c>
      <c r="K53" s="223"/>
      <c r="L53" s="141"/>
      <c r="M53" s="1"/>
    </row>
    <row r="54" spans="1:13" s="33" customFormat="1" ht="13.8" x14ac:dyDescent="0.25">
      <c r="A54" s="126"/>
      <c r="B54" s="108" t="s">
        <v>63</v>
      </c>
      <c r="C54" s="295">
        <v>3309.96</v>
      </c>
      <c r="D54" s="232"/>
      <c r="E54" s="171">
        <v>3310</v>
      </c>
      <c r="F54" s="193"/>
      <c r="G54" s="295">
        <v>3309.96</v>
      </c>
      <c r="H54" s="167"/>
      <c r="I54" s="167"/>
      <c r="J54" s="171">
        <v>3310</v>
      </c>
      <c r="K54" s="223"/>
      <c r="L54" s="141"/>
      <c r="M54" s="1"/>
    </row>
    <row r="55" spans="1:13" s="33" customFormat="1" ht="15" customHeight="1" x14ac:dyDescent="0.25">
      <c r="A55" s="125"/>
      <c r="B55" s="108" t="s">
        <v>156</v>
      </c>
      <c r="C55" s="294">
        <v>21098.23</v>
      </c>
      <c r="D55" s="232"/>
      <c r="E55" s="294">
        <v>21735</v>
      </c>
      <c r="F55" s="193"/>
      <c r="G55" s="294">
        <v>21702.17</v>
      </c>
      <c r="H55" s="167"/>
      <c r="I55" s="167"/>
      <c r="J55" s="294">
        <v>18895</v>
      </c>
      <c r="K55" s="136"/>
      <c r="L55" s="141"/>
      <c r="M55" s="1"/>
    </row>
    <row r="56" spans="1:13" s="33" customFormat="1" ht="15" customHeight="1" x14ac:dyDescent="0.25">
      <c r="A56" s="125"/>
      <c r="B56" s="108" t="s">
        <v>157</v>
      </c>
      <c r="C56" s="294">
        <v>1639.34</v>
      </c>
      <c r="D56" s="232"/>
      <c r="E56" s="171">
        <v>2000</v>
      </c>
      <c r="F56" s="193"/>
      <c r="G56" s="294">
        <v>1674.45</v>
      </c>
      <c r="H56" s="167"/>
      <c r="I56" s="167"/>
      <c r="J56" s="171">
        <v>1700</v>
      </c>
      <c r="K56" s="224"/>
      <c r="L56" s="141"/>
      <c r="M56" s="1"/>
    </row>
    <row r="57" spans="1:13" s="33" customFormat="1" ht="14.25" customHeight="1" thickBot="1" x14ac:dyDescent="0.3">
      <c r="A57" s="125"/>
      <c r="B57" s="43" t="s">
        <v>158</v>
      </c>
      <c r="C57" s="312">
        <f>1600+0.96</f>
        <v>1600.96</v>
      </c>
      <c r="D57" s="232"/>
      <c r="E57" s="173">
        <v>2000</v>
      </c>
      <c r="F57" s="193"/>
      <c r="G57" s="312">
        <f>200+200+200+3172+224.93+0.96+10000</f>
        <v>13997.89</v>
      </c>
      <c r="H57" s="167"/>
      <c r="I57" s="167"/>
      <c r="J57" s="173">
        <v>4000</v>
      </c>
      <c r="K57" s="224"/>
      <c r="L57" s="141"/>
      <c r="M57" s="1"/>
    </row>
    <row r="58" spans="1:13" s="33" customFormat="1" ht="24" customHeight="1" thickBot="1" x14ac:dyDescent="0.3">
      <c r="B58" s="159" t="s">
        <v>64</v>
      </c>
      <c r="C58" s="322">
        <f>+C50+C30+C23+C9</f>
        <v>4639673.0999999996</v>
      </c>
      <c r="D58" s="235"/>
      <c r="E58" s="322">
        <f>+E50+E30+E23+E9</f>
        <v>4679670</v>
      </c>
      <c r="F58" s="201"/>
      <c r="G58" s="322">
        <f>+G50+G30+G23+G9</f>
        <v>4713463.1800000006</v>
      </c>
      <c r="H58" s="95"/>
      <c r="I58" s="95"/>
      <c r="J58" s="322">
        <f>+J50+J30+J23+J9</f>
        <v>4851030</v>
      </c>
      <c r="K58" s="185"/>
      <c r="L58" s="141"/>
      <c r="M58" s="1"/>
    </row>
    <row r="59" spans="1:13" s="8" customFormat="1" ht="17.25" customHeight="1" thickBot="1" x14ac:dyDescent="0.3">
      <c r="B59" s="13"/>
      <c r="C59" s="18"/>
      <c r="E59" s="18"/>
      <c r="G59" s="18"/>
      <c r="H59" s="4"/>
      <c r="I59" s="4"/>
      <c r="J59" s="18"/>
      <c r="K59" s="185"/>
      <c r="L59" s="141"/>
      <c r="M59" s="1"/>
    </row>
    <row r="60" spans="1:13" s="33" customFormat="1" ht="21" customHeight="1" thickBot="1" x14ac:dyDescent="0.3">
      <c r="B60" s="87" t="s">
        <v>14</v>
      </c>
      <c r="C60" s="99">
        <f>SUM(C62:C70)</f>
        <v>301101.02</v>
      </c>
      <c r="D60" s="229"/>
      <c r="E60" s="99">
        <f>SUM(E62:E70)</f>
        <v>860330</v>
      </c>
      <c r="F60" s="199"/>
      <c r="G60" s="99">
        <f>SUM(G62:G70)</f>
        <v>923290.04</v>
      </c>
      <c r="H60" s="37"/>
      <c r="I60" s="37"/>
      <c r="J60" s="99">
        <f>SUM(J62:J70)</f>
        <v>375990</v>
      </c>
      <c r="K60" s="186"/>
      <c r="L60" s="141"/>
      <c r="M60" s="1"/>
    </row>
    <row r="61" spans="1:13" s="8" customFormat="1" ht="5.25" customHeight="1" thickBot="1" x14ac:dyDescent="0.35">
      <c r="B61" s="23"/>
      <c r="C61" s="16"/>
      <c r="D61" s="32"/>
      <c r="E61" s="16"/>
      <c r="F61" s="32"/>
      <c r="G61" s="16"/>
      <c r="H61" s="10"/>
      <c r="I61" s="10"/>
      <c r="J61" s="16"/>
      <c r="K61" s="185"/>
      <c r="L61" s="141"/>
      <c r="M61" s="1"/>
    </row>
    <row r="62" spans="1:13" s="33" customFormat="1" ht="14.25" customHeight="1" x14ac:dyDescent="0.25">
      <c r="B62" s="263" t="s">
        <v>162</v>
      </c>
      <c r="C62" s="296">
        <v>23000</v>
      </c>
      <c r="D62" s="234"/>
      <c r="E62" s="296">
        <v>23000</v>
      </c>
      <c r="F62" s="195"/>
      <c r="G62" s="296">
        <v>23401</v>
      </c>
      <c r="H62" s="41"/>
      <c r="I62" s="41"/>
      <c r="J62" s="296">
        <v>23000</v>
      </c>
      <c r="K62" s="136"/>
      <c r="L62" s="141"/>
      <c r="M62" s="1"/>
    </row>
    <row r="63" spans="1:13" s="33" customFormat="1" ht="14.25" customHeight="1" x14ac:dyDescent="0.25">
      <c r="B63" s="42" t="s">
        <v>193</v>
      </c>
      <c r="C63" s="294">
        <v>0</v>
      </c>
      <c r="D63" s="232"/>
      <c r="E63" s="292">
        <v>0</v>
      </c>
      <c r="F63" s="193"/>
      <c r="G63" s="294">
        <f>10820+7000+3400</f>
        <v>21220</v>
      </c>
      <c r="H63" s="41"/>
      <c r="I63" s="41"/>
      <c r="J63" s="292">
        <v>0</v>
      </c>
      <c r="K63" s="127"/>
      <c r="L63" s="141"/>
      <c r="M63" s="1"/>
    </row>
    <row r="64" spans="1:13" s="33" customFormat="1" ht="14.25" customHeight="1" x14ac:dyDescent="0.25">
      <c r="B64" s="42" t="s">
        <v>218</v>
      </c>
      <c r="C64" s="295">
        <v>0</v>
      </c>
      <c r="D64" s="232"/>
      <c r="E64" s="292">
        <v>0</v>
      </c>
      <c r="F64" s="193"/>
      <c r="G64" s="295">
        <v>60000</v>
      </c>
      <c r="H64" s="41"/>
      <c r="I64" s="41"/>
      <c r="J64" s="292">
        <v>0</v>
      </c>
      <c r="K64" s="127"/>
      <c r="L64" s="141"/>
      <c r="M64" s="1"/>
    </row>
    <row r="65" spans="2:13" ht="14.25" customHeight="1" x14ac:dyDescent="0.25">
      <c r="B65" s="39" t="s">
        <v>219</v>
      </c>
      <c r="C65" s="295">
        <v>256081.02</v>
      </c>
      <c r="D65" s="236"/>
      <c r="E65" s="165">
        <v>255105</v>
      </c>
      <c r="F65" s="34"/>
      <c r="G65" s="295">
        <v>266186.14</v>
      </c>
      <c r="H65" s="5"/>
      <c r="I65" s="5"/>
      <c r="J65" s="165">
        <v>257985</v>
      </c>
      <c r="K65" s="223"/>
    </row>
    <row r="66" spans="2:13" ht="14.25" customHeight="1" x14ac:dyDescent="0.25">
      <c r="B66" s="39" t="s">
        <v>220</v>
      </c>
      <c r="C66" s="294">
        <v>0</v>
      </c>
      <c r="D66" s="236"/>
      <c r="E66" s="293">
        <v>30900</v>
      </c>
      <c r="F66" s="34"/>
      <c r="G66" s="294">
        <v>30952.25</v>
      </c>
      <c r="H66" s="5"/>
      <c r="I66" s="5"/>
      <c r="J66" s="293">
        <v>70705</v>
      </c>
      <c r="K66" s="127"/>
    </row>
    <row r="67" spans="2:13" ht="14.25" customHeight="1" x14ac:dyDescent="0.25">
      <c r="B67" s="39" t="s">
        <v>221</v>
      </c>
      <c r="C67" s="295">
        <v>4325</v>
      </c>
      <c r="D67" s="236"/>
      <c r="E67" s="293">
        <v>4325</v>
      </c>
      <c r="F67" s="34"/>
      <c r="G67" s="295">
        <v>4300</v>
      </c>
      <c r="H67" s="5"/>
      <c r="I67" s="5"/>
      <c r="J67" s="293">
        <v>4300</v>
      </c>
      <c r="K67" s="223"/>
    </row>
    <row r="68" spans="2:13" ht="14.25" customHeight="1" x14ac:dyDescent="0.25">
      <c r="B68" s="39" t="s">
        <v>222</v>
      </c>
      <c r="C68" s="295">
        <f>2330+15365</f>
        <v>17695</v>
      </c>
      <c r="D68" s="236"/>
      <c r="E68" s="165">
        <v>15000</v>
      </c>
      <c r="F68" s="34"/>
      <c r="G68" s="295">
        <v>517230.65</v>
      </c>
      <c r="H68" s="5"/>
      <c r="I68" s="5"/>
      <c r="J68" s="165">
        <v>20000</v>
      </c>
      <c r="K68" s="223"/>
    </row>
    <row r="69" spans="2:13" ht="14.25" customHeight="1" x14ac:dyDescent="0.25">
      <c r="B69" s="39" t="s">
        <v>223</v>
      </c>
      <c r="C69" s="171">
        <v>0</v>
      </c>
      <c r="D69" s="236"/>
      <c r="E69" s="298">
        <v>532000</v>
      </c>
      <c r="F69" s="34"/>
      <c r="G69" s="171"/>
      <c r="H69" s="5"/>
      <c r="I69" s="5"/>
      <c r="J69" s="298"/>
      <c r="K69" s="223"/>
    </row>
    <row r="70" spans="2:13" ht="14.25" customHeight="1" thickBot="1" x14ac:dyDescent="0.3">
      <c r="B70" s="226" t="s">
        <v>224</v>
      </c>
      <c r="C70" s="203">
        <v>0</v>
      </c>
      <c r="D70" s="237"/>
      <c r="E70" s="203"/>
      <c r="F70" s="196"/>
      <c r="G70" s="173"/>
      <c r="H70" s="5"/>
      <c r="I70" s="5"/>
      <c r="J70" s="203"/>
      <c r="K70" s="225"/>
    </row>
    <row r="71" spans="2:13" ht="9" customHeight="1" thickBot="1" x14ac:dyDescent="0.3">
      <c r="B71" s="34"/>
      <c r="C71" s="17"/>
      <c r="D71" s="34"/>
      <c r="E71" s="17"/>
      <c r="F71" s="34"/>
      <c r="G71" s="17"/>
      <c r="H71" s="5"/>
      <c r="I71" s="5"/>
      <c r="J71" s="17"/>
    </row>
    <row r="72" spans="2:13" s="11" customFormat="1" ht="27" customHeight="1" thickBot="1" x14ac:dyDescent="0.4">
      <c r="B72" s="160" t="s">
        <v>65</v>
      </c>
      <c r="C72" s="323">
        <f>+C58+C60</f>
        <v>4940774.1199999992</v>
      </c>
      <c r="D72" s="238"/>
      <c r="E72" s="323">
        <f>+E58+E60</f>
        <v>5540000</v>
      </c>
      <c r="F72" s="202"/>
      <c r="G72" s="323">
        <f>+G58+G60</f>
        <v>5636753.2200000007</v>
      </c>
      <c r="H72" s="96"/>
      <c r="I72" s="96"/>
      <c r="J72" s="323">
        <f>+J58+J60</f>
        <v>5227020</v>
      </c>
      <c r="K72" s="185"/>
      <c r="L72" s="141"/>
      <c r="M72" s="1"/>
    </row>
    <row r="73" spans="2:13" x14ac:dyDescent="0.25">
      <c r="C73" s="18"/>
      <c r="E73" s="18"/>
      <c r="G73" s="18"/>
      <c r="H73" s="4"/>
      <c r="I73" s="4"/>
      <c r="J73" s="18"/>
    </row>
    <row r="75" spans="2:13" ht="51.75" customHeight="1" x14ac:dyDescent="0.25"/>
  </sheetData>
  <mergeCells count="9">
    <mergeCell ref="A1:J1"/>
    <mergeCell ref="A2:J2"/>
    <mergeCell ref="A4:J4"/>
    <mergeCell ref="K14:L14"/>
    <mergeCell ref="G7:G8"/>
    <mergeCell ref="J7:J8"/>
    <mergeCell ref="E7:E8"/>
    <mergeCell ref="B5:J5"/>
    <mergeCell ref="C7:C8"/>
  </mergeCells>
  <phoneticPr fontId="0" type="noConversion"/>
  <pageMargins left="0.27559055118110237" right="0.15748031496062992" top="0.27559055118110237" bottom="0.19685039370078741" header="0.15748031496062992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8"/>
  <sheetViews>
    <sheetView zoomScale="75" workbookViewId="0">
      <selection activeCell="F12" sqref="F12:G12"/>
    </sheetView>
  </sheetViews>
  <sheetFormatPr baseColWidth="10" defaultRowHeight="13.2" x14ac:dyDescent="0.25"/>
  <cols>
    <col min="1" max="1" width="82.5546875" bestFit="1" customWidth="1"/>
    <col min="2" max="2" width="0.77734375" customWidth="1"/>
    <col min="3" max="3" width="17.77734375" bestFit="1" customWidth="1"/>
    <col min="4" max="4" width="17.5546875" bestFit="1" customWidth="1"/>
    <col min="5" max="5" width="0.77734375" customWidth="1"/>
    <col min="6" max="6" width="18.21875" customWidth="1"/>
    <col min="7" max="7" width="13.21875" style="45" bestFit="1" customWidth="1"/>
  </cols>
  <sheetData>
    <row r="2" spans="1:18" ht="33" x14ac:dyDescent="0.6">
      <c r="A2" s="345" t="s">
        <v>27</v>
      </c>
      <c r="B2" s="345"/>
      <c r="C2" s="345"/>
      <c r="D2" s="345"/>
      <c r="E2" s="345"/>
      <c r="F2" s="345"/>
      <c r="G2" s="345"/>
    </row>
    <row r="3" spans="1:18" ht="22.8" x14ac:dyDescent="0.4">
      <c r="A3" s="346" t="s">
        <v>28</v>
      </c>
      <c r="B3" s="346"/>
      <c r="C3" s="346"/>
      <c r="D3" s="346"/>
      <c r="E3" s="346"/>
      <c r="F3" s="346"/>
      <c r="G3" s="346"/>
    </row>
    <row r="4" spans="1:18" ht="22.8" x14ac:dyDescent="0.4">
      <c r="A4" s="347" t="s">
        <v>216</v>
      </c>
      <c r="B4" s="347"/>
      <c r="C4" s="347"/>
      <c r="D4" s="347"/>
      <c r="E4" s="347"/>
      <c r="F4" s="347"/>
      <c r="G4" s="347"/>
    </row>
    <row r="5" spans="1:18" ht="17.399999999999999" x14ac:dyDescent="0.3">
      <c r="A5" s="348" t="s">
        <v>48</v>
      </c>
      <c r="B5" s="348"/>
      <c r="C5" s="348"/>
      <c r="D5" s="348"/>
      <c r="E5" s="348"/>
      <c r="F5" s="348"/>
      <c r="G5" s="348"/>
    </row>
    <row r="6" spans="1:18" ht="22.8" x14ac:dyDescent="0.4">
      <c r="A6" s="70"/>
      <c r="B6" s="70"/>
      <c r="C6" s="70"/>
      <c r="D6" s="70"/>
      <c r="E6" s="70"/>
      <c r="F6" s="70"/>
      <c r="G6" s="70"/>
    </row>
    <row r="7" spans="1:18" ht="13.8" thickBot="1" x14ac:dyDescent="0.3"/>
    <row r="8" spans="1:18" ht="22.8" x14ac:dyDescent="0.4">
      <c r="A8" s="74" t="s">
        <v>18</v>
      </c>
      <c r="B8" s="64"/>
      <c r="C8" s="52" t="s">
        <v>102</v>
      </c>
      <c r="D8" s="52" t="s">
        <v>25</v>
      </c>
      <c r="E8" s="59"/>
      <c r="F8" s="68" t="s">
        <v>19</v>
      </c>
      <c r="G8" s="53" t="s">
        <v>20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8" ht="23.4" thickBot="1" x14ac:dyDescent="0.45">
      <c r="A9" s="74" t="s">
        <v>26</v>
      </c>
      <c r="B9" s="65"/>
      <c r="C9" s="54">
        <v>2021</v>
      </c>
      <c r="D9" s="54">
        <v>2022</v>
      </c>
      <c r="E9" s="60"/>
      <c r="F9" s="69" t="s">
        <v>21</v>
      </c>
      <c r="G9" s="55" t="s">
        <v>22</v>
      </c>
      <c r="L9" s="1"/>
    </row>
    <row r="10" spans="1:18" ht="17.399999999999999" x14ac:dyDescent="0.3">
      <c r="A10" s="46" t="s">
        <v>11</v>
      </c>
      <c r="B10" s="66"/>
      <c r="C10" s="57">
        <f>Ingresos!G9</f>
        <v>817395.6</v>
      </c>
      <c r="D10" s="57">
        <f>+Ingresos!J9</f>
        <v>849900</v>
      </c>
      <c r="E10" s="61"/>
      <c r="F10" s="329">
        <f>+D10-C10</f>
        <v>32504.400000000023</v>
      </c>
      <c r="G10" s="330">
        <f t="shared" ref="G10:G15" si="0">+F10/C10</f>
        <v>3.976581229456095E-2</v>
      </c>
    </row>
    <row r="11" spans="1:18" ht="17.399999999999999" x14ac:dyDescent="0.3">
      <c r="A11" s="47" t="s">
        <v>23</v>
      </c>
      <c r="B11" s="66"/>
      <c r="C11" s="48">
        <f>Ingresos!G23</f>
        <v>3231618.7100000004</v>
      </c>
      <c r="D11" s="48">
        <f>+Ingresos!J23</f>
        <v>3341470</v>
      </c>
      <c r="E11" s="62"/>
      <c r="F11" s="307">
        <f>+D11-C11</f>
        <v>109851.28999999957</v>
      </c>
      <c r="G11" s="308">
        <f t="shared" si="0"/>
        <v>3.3992651936341697E-2</v>
      </c>
    </row>
    <row r="12" spans="1:18" ht="17.399999999999999" x14ac:dyDescent="0.3">
      <c r="A12" s="47" t="s">
        <v>12</v>
      </c>
      <c r="B12" s="66"/>
      <c r="C12" s="48">
        <f>Ingresos!G30</f>
        <v>379928.27999999997</v>
      </c>
      <c r="D12" s="48">
        <f>+Ingresos!J30</f>
        <v>405755</v>
      </c>
      <c r="E12" s="62"/>
      <c r="F12" s="331">
        <f>+D12-C12</f>
        <v>25826.72000000003</v>
      </c>
      <c r="G12" s="332">
        <f t="shared" si="0"/>
        <v>6.7977882562466868E-2</v>
      </c>
    </row>
    <row r="13" spans="1:18" ht="17.399999999999999" x14ac:dyDescent="0.3">
      <c r="A13" s="47" t="s">
        <v>13</v>
      </c>
      <c r="B13" s="66"/>
      <c r="C13" s="48">
        <f>Ingresos!G50</f>
        <v>284520.59000000003</v>
      </c>
      <c r="D13" s="48">
        <f>+Ingresos!J50</f>
        <v>253905</v>
      </c>
      <c r="E13" s="62"/>
      <c r="F13" s="106">
        <f>+D13-C13</f>
        <v>-30615.590000000026</v>
      </c>
      <c r="G13" s="107">
        <f t="shared" si="0"/>
        <v>-0.10760412805273609</v>
      </c>
    </row>
    <row r="14" spans="1:18" ht="18" thickBot="1" x14ac:dyDescent="0.35">
      <c r="A14" s="47" t="s">
        <v>14</v>
      </c>
      <c r="B14" s="66"/>
      <c r="C14" s="49">
        <f>Ingresos!G60</f>
        <v>923290.04</v>
      </c>
      <c r="D14" s="49">
        <f>+Ingresos!J60</f>
        <v>375990</v>
      </c>
      <c r="E14" s="62"/>
      <c r="F14" s="259">
        <f>+D14-C14</f>
        <v>-547300.04</v>
      </c>
      <c r="G14" s="260">
        <f t="shared" si="0"/>
        <v>-0.59277151955413709</v>
      </c>
    </row>
    <row r="15" spans="1:18" ht="18" thickBot="1" x14ac:dyDescent="0.35">
      <c r="A15" s="75" t="s">
        <v>24</v>
      </c>
      <c r="B15" s="67"/>
      <c r="C15" s="51">
        <f>SUM(C10:C14)</f>
        <v>5636753.2200000007</v>
      </c>
      <c r="D15" s="50">
        <f>SUM(D10:D14)</f>
        <v>5227020</v>
      </c>
      <c r="E15" s="58"/>
      <c r="F15" s="279">
        <f>SUM(F10:F14)</f>
        <v>-409733.22000000044</v>
      </c>
      <c r="G15" s="280">
        <f t="shared" si="0"/>
        <v>-7.2689579268116408E-2</v>
      </c>
    </row>
    <row r="16" spans="1:18" ht="6.75" customHeight="1" x14ac:dyDescent="0.25"/>
    <row r="17" spans="2:7" ht="6.75" customHeight="1" x14ac:dyDescent="0.25"/>
    <row r="18" spans="2:7" ht="22.8" x14ac:dyDescent="0.4">
      <c r="B18" s="56"/>
      <c r="C18" s="56"/>
      <c r="D18" s="56"/>
      <c r="E18" s="56"/>
      <c r="F18" s="56"/>
      <c r="G18" s="56"/>
    </row>
  </sheetData>
  <mergeCells count="4">
    <mergeCell ref="A2:G2"/>
    <mergeCell ref="A3:G3"/>
    <mergeCell ref="A4:G4"/>
    <mergeCell ref="A5:G5"/>
  </mergeCells>
  <phoneticPr fontId="0" type="noConversion"/>
  <pageMargins left="0.38" right="0.19685039370078741" top="0.59055118110236227" bottom="0.39370078740157483" header="0.59055118110236227" footer="0.19685039370078741"/>
  <pageSetup paperSize="9" scale="95" orientation="landscape" horizontalDpi="300" verticalDpi="300" r:id="rId1"/>
  <headerFooter alignWithMargins="0">
    <oddHeader xml:space="preserve">&amp;C&amp;"Rockwell,Negrita"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M17" sqref="M17"/>
    </sheetView>
  </sheetViews>
  <sheetFormatPr baseColWidth="10" defaultRowHeight="13.2" x14ac:dyDescent="0.25"/>
  <cols>
    <col min="2" max="2" width="11.21875" customWidth="1"/>
  </cols>
  <sheetData>
    <row r="1" spans="1:12" ht="27" customHeight="1" x14ac:dyDescent="0.25"/>
    <row r="2" spans="1:12" s="110" customFormat="1" ht="33" x14ac:dyDescent="0.6">
      <c r="A2" s="349" t="s">
        <v>15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 ht="22.8" x14ac:dyDescent="0.4">
      <c r="A3" s="346" t="s">
        <v>28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</row>
    <row r="4" spans="1:12" s="110" customFormat="1" ht="21" x14ac:dyDescent="0.4">
      <c r="A4" s="350" t="s">
        <v>34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</row>
    <row r="5" spans="1:12" ht="21" x14ac:dyDescent="0.4">
      <c r="A5" s="350" t="s">
        <v>47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</row>
    <row r="6" spans="1:12" ht="28.5" customHeight="1" x14ac:dyDescent="0.4">
      <c r="A6" s="73"/>
      <c r="B6" s="73"/>
      <c r="C6" s="73"/>
      <c r="D6" s="73"/>
      <c r="E6" s="73"/>
      <c r="F6" s="73"/>
      <c r="G6" s="73"/>
      <c r="H6" s="73"/>
      <c r="I6" s="73"/>
    </row>
  </sheetData>
  <mergeCells count="4">
    <mergeCell ref="A2:L2"/>
    <mergeCell ref="A3:L3"/>
    <mergeCell ref="A4:L4"/>
    <mergeCell ref="A5:L5"/>
  </mergeCells>
  <phoneticPr fontId="0" type="noConversion"/>
  <pageMargins left="0.48" right="0.49" top="0.64" bottom="0.79" header="0" footer="0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topLeftCell="F2" zoomScaleNormal="100" workbookViewId="0">
      <selection activeCell="J24" sqref="J23:J24"/>
    </sheetView>
  </sheetViews>
  <sheetFormatPr baseColWidth="10" defaultColWidth="11.44140625" defaultRowHeight="13.2" x14ac:dyDescent="0.25"/>
  <cols>
    <col min="1" max="1" width="2.77734375" style="79" customWidth="1"/>
    <col min="2" max="2" width="57.77734375" style="79" customWidth="1"/>
    <col min="3" max="3" width="18.77734375" style="101" customWidth="1"/>
    <col min="4" max="4" width="2.77734375" style="82" customWidth="1"/>
    <col min="5" max="5" width="18.77734375" style="101" customWidth="1"/>
    <col min="6" max="6" width="2.77734375" style="82" customWidth="1"/>
    <col min="7" max="7" width="18.77734375" style="101" customWidth="1"/>
    <col min="8" max="8" width="2.77734375" style="205" customWidth="1"/>
    <col min="9" max="9" width="18.77734375" style="101" customWidth="1"/>
    <col min="10" max="10" width="53.5546875" style="127" customWidth="1"/>
    <col min="11" max="11" width="11.77734375" style="143" bestFit="1" customWidth="1"/>
    <col min="12" max="12" width="11.44140625" style="97"/>
    <col min="13" max="13" width="11.44140625" style="79"/>
    <col min="14" max="14" width="15.109375" style="79" customWidth="1"/>
    <col min="15" max="15" width="11.5546875" style="79" bestFit="1" customWidth="1"/>
    <col min="16" max="16384" width="11.44140625" style="79"/>
  </cols>
  <sheetData>
    <row r="1" spans="2:12" ht="26.25" customHeight="1" x14ac:dyDescent="0.25">
      <c r="B1" s="337" t="s">
        <v>15</v>
      </c>
      <c r="C1" s="337"/>
      <c r="D1" s="337"/>
      <c r="E1" s="337"/>
      <c r="F1" s="337"/>
      <c r="G1" s="337"/>
      <c r="H1" s="337"/>
      <c r="I1" s="337"/>
      <c r="J1" s="324"/>
    </row>
    <row r="2" spans="2:12" ht="26.25" customHeight="1" x14ac:dyDescent="0.25">
      <c r="B2" s="338" t="s">
        <v>114</v>
      </c>
      <c r="C2" s="338"/>
      <c r="D2" s="338"/>
      <c r="E2" s="338"/>
      <c r="F2" s="338"/>
      <c r="G2" s="338"/>
      <c r="H2" s="338"/>
      <c r="I2" s="338"/>
      <c r="J2" s="324"/>
    </row>
    <row r="3" spans="2:12" ht="36.75" customHeight="1" x14ac:dyDescent="0.25">
      <c r="B3" s="339"/>
      <c r="C3" s="339"/>
      <c r="D3" s="339"/>
      <c r="E3" s="339"/>
      <c r="F3" s="339"/>
      <c r="G3" s="339"/>
      <c r="H3" s="339"/>
      <c r="I3" s="339"/>
    </row>
    <row r="4" spans="2:12" ht="22.8" x14ac:dyDescent="0.4">
      <c r="B4" s="344" t="s">
        <v>147</v>
      </c>
      <c r="C4" s="344"/>
      <c r="D4" s="344"/>
      <c r="E4" s="344"/>
      <c r="F4" s="344"/>
      <c r="G4" s="344"/>
      <c r="H4" s="344"/>
      <c r="I4" s="344"/>
      <c r="J4" s="183"/>
    </row>
    <row r="5" spans="2:12" ht="18" customHeight="1" thickBot="1" x14ac:dyDescent="0.45">
      <c r="B5" s="183"/>
      <c r="C5" s="311"/>
      <c r="D5" s="212"/>
      <c r="E5" s="183"/>
      <c r="F5" s="183"/>
      <c r="G5" s="311"/>
      <c r="H5" s="183"/>
      <c r="I5" s="183"/>
      <c r="J5" s="183"/>
    </row>
    <row r="6" spans="2:12" ht="23.25" customHeight="1" x14ac:dyDescent="0.4">
      <c r="B6" s="183" t="s">
        <v>46</v>
      </c>
      <c r="C6" s="342" t="s">
        <v>213</v>
      </c>
      <c r="D6" s="212"/>
      <c r="E6" s="342" t="s">
        <v>197</v>
      </c>
      <c r="F6" s="212"/>
      <c r="G6" s="342" t="s">
        <v>215</v>
      </c>
      <c r="H6" s="197"/>
      <c r="I6" s="342" t="s">
        <v>214</v>
      </c>
    </row>
    <row r="7" spans="2:12" ht="28.5" customHeight="1" thickBot="1" x14ac:dyDescent="0.3">
      <c r="B7" s="184"/>
      <c r="C7" s="343"/>
      <c r="D7" s="184"/>
      <c r="E7" s="343"/>
      <c r="F7" s="184"/>
      <c r="G7" s="343"/>
      <c r="H7" s="206"/>
      <c r="I7" s="343"/>
    </row>
    <row r="8" spans="2:12" s="83" customFormat="1" ht="20.25" customHeight="1" thickBot="1" x14ac:dyDescent="0.3">
      <c r="B8" s="88" t="s">
        <v>0</v>
      </c>
      <c r="C8" s="102">
        <f>+C10+C17+C53+C62+C68</f>
        <v>1711922.14</v>
      </c>
      <c r="D8" s="241"/>
      <c r="E8" s="102">
        <f>+E10+E17+E53+E62+E68</f>
        <v>1510780</v>
      </c>
      <c r="F8" s="213"/>
      <c r="G8" s="102">
        <f>+G10+G17+G53+G62+G68</f>
        <v>1135323.4799999997</v>
      </c>
      <c r="H8" s="207"/>
      <c r="I8" s="102">
        <f>+I10+I17+I53+I62+I68</f>
        <v>1182864</v>
      </c>
      <c r="J8" s="130"/>
      <c r="K8" s="144"/>
      <c r="L8" s="115"/>
    </row>
    <row r="9" spans="2:12" s="84" customFormat="1" ht="9" customHeight="1" thickBot="1" x14ac:dyDescent="0.3">
      <c r="B9" s="35"/>
      <c r="C9" s="36"/>
      <c r="D9" s="213"/>
      <c r="E9" s="36"/>
      <c r="F9" s="213"/>
      <c r="G9" s="36"/>
      <c r="H9" s="207"/>
      <c r="I9" s="36"/>
      <c r="J9" s="131"/>
      <c r="K9" s="145"/>
      <c r="L9" s="155"/>
    </row>
    <row r="10" spans="2:12" s="83" customFormat="1" ht="17.100000000000001" customHeight="1" thickBot="1" x14ac:dyDescent="0.3">
      <c r="B10" s="89" t="s">
        <v>1</v>
      </c>
      <c r="C10" s="103">
        <f>SUM(C11:C16)</f>
        <v>18634.12</v>
      </c>
      <c r="D10" s="241"/>
      <c r="E10" s="103">
        <f>SUM(E11:E16)</f>
        <v>25000</v>
      </c>
      <c r="F10" s="213"/>
      <c r="G10" s="103">
        <f>SUM(G11:G16)</f>
        <v>5371.68</v>
      </c>
      <c r="H10" s="208"/>
      <c r="I10" s="103">
        <f>SUM(I11:I16)</f>
        <v>25000</v>
      </c>
      <c r="J10" s="129"/>
      <c r="K10" s="144"/>
      <c r="L10" s="115"/>
    </row>
    <row r="11" spans="2:12" ht="13.8" x14ac:dyDescent="0.25">
      <c r="B11" s="2" t="s">
        <v>70</v>
      </c>
      <c r="C11" s="296">
        <v>2158</v>
      </c>
      <c r="D11" s="239"/>
      <c r="E11" s="163">
        <v>6000</v>
      </c>
      <c r="F11" s="31"/>
      <c r="G11" s="328">
        <v>1258.99</v>
      </c>
      <c r="H11" s="209"/>
      <c r="I11" s="163">
        <v>6000</v>
      </c>
    </row>
    <row r="12" spans="2:12" ht="13.8" x14ac:dyDescent="0.25">
      <c r="B12" s="29" t="s">
        <v>71</v>
      </c>
      <c r="C12" s="294">
        <v>0</v>
      </c>
      <c r="D12" s="240"/>
      <c r="E12" s="165">
        <v>1000</v>
      </c>
      <c r="F12" s="31"/>
      <c r="G12" s="166">
        <v>0</v>
      </c>
      <c r="H12" s="209"/>
      <c r="I12" s="165">
        <v>1000</v>
      </c>
    </row>
    <row r="13" spans="2:12" ht="13.8" x14ac:dyDescent="0.25">
      <c r="B13" s="29" t="s">
        <v>72</v>
      </c>
      <c r="C13" s="294">
        <v>245</v>
      </c>
      <c r="D13" s="240"/>
      <c r="E13" s="165">
        <v>1000</v>
      </c>
      <c r="F13" s="31"/>
      <c r="G13" s="166">
        <v>25</v>
      </c>
      <c r="H13" s="209"/>
      <c r="I13" s="165">
        <v>1000</v>
      </c>
    </row>
    <row r="14" spans="2:12" ht="13.8" x14ac:dyDescent="0.25">
      <c r="B14" s="29" t="s">
        <v>73</v>
      </c>
      <c r="C14" s="294">
        <v>40.5</v>
      </c>
      <c r="D14" s="240"/>
      <c r="E14" s="165">
        <v>1000</v>
      </c>
      <c r="F14" s="31"/>
      <c r="G14" s="166">
        <v>0</v>
      </c>
      <c r="H14" s="209"/>
      <c r="I14" s="165">
        <v>1000</v>
      </c>
    </row>
    <row r="15" spans="2:12" ht="13.8" x14ac:dyDescent="0.25">
      <c r="B15" s="29" t="s">
        <v>74</v>
      </c>
      <c r="C15" s="294">
        <v>356.49</v>
      </c>
      <c r="D15" s="240"/>
      <c r="E15" s="165">
        <v>1000</v>
      </c>
      <c r="F15" s="31"/>
      <c r="G15" s="166">
        <v>407.69</v>
      </c>
      <c r="H15" s="209"/>
      <c r="I15" s="165">
        <v>1000</v>
      </c>
    </row>
    <row r="16" spans="2:12" ht="14.4" thickBot="1" x14ac:dyDescent="0.3">
      <c r="B16" s="29" t="s">
        <v>112</v>
      </c>
      <c r="C16" s="312">
        <v>15834.13</v>
      </c>
      <c r="D16" s="240"/>
      <c r="E16" s="305">
        <v>15000</v>
      </c>
      <c r="F16" s="31"/>
      <c r="G16" s="312">
        <v>3680</v>
      </c>
      <c r="H16" s="209"/>
      <c r="I16" s="305">
        <v>15000</v>
      </c>
    </row>
    <row r="17" spans="2:12" s="83" customFormat="1" ht="16.2" thickBot="1" x14ac:dyDescent="0.3">
      <c r="B17" s="109" t="s">
        <v>54</v>
      </c>
      <c r="C17" s="103">
        <f>SUM(C18:C52)</f>
        <v>465385.68999999994</v>
      </c>
      <c r="D17" s="242"/>
      <c r="E17" s="103">
        <f>SUM(E18:E52)</f>
        <v>386932</v>
      </c>
      <c r="F17" s="214"/>
      <c r="G17" s="103">
        <f>SUM(G18:G52)</f>
        <v>279026.18</v>
      </c>
      <c r="H17" s="208"/>
      <c r="I17" s="103">
        <f>SUM(I18:I52)</f>
        <v>318368</v>
      </c>
      <c r="J17" s="127"/>
      <c r="K17" s="144"/>
      <c r="L17" s="115"/>
    </row>
    <row r="18" spans="2:12" ht="14.85" customHeight="1" x14ac:dyDescent="0.25">
      <c r="B18" s="2" t="s">
        <v>118</v>
      </c>
      <c r="C18" s="294">
        <v>1572</v>
      </c>
      <c r="D18" s="239"/>
      <c r="E18" s="165">
        <v>11000</v>
      </c>
      <c r="F18" s="31"/>
      <c r="G18" s="166">
        <v>2373.5</v>
      </c>
      <c r="H18" s="209"/>
      <c r="I18" s="165">
        <v>11500</v>
      </c>
    </row>
    <row r="19" spans="2:12" ht="14.85" customHeight="1" x14ac:dyDescent="0.25">
      <c r="B19" s="2" t="s">
        <v>119</v>
      </c>
      <c r="C19" s="294">
        <v>1500</v>
      </c>
      <c r="D19" s="239"/>
      <c r="E19" s="172">
        <v>3000</v>
      </c>
      <c r="F19" s="31"/>
      <c r="G19" s="172">
        <v>2000</v>
      </c>
      <c r="H19" s="210"/>
      <c r="I19" s="172">
        <v>3000</v>
      </c>
    </row>
    <row r="20" spans="2:12" ht="13.8" x14ac:dyDescent="0.25">
      <c r="B20" s="29" t="s">
        <v>120</v>
      </c>
      <c r="C20" s="294">
        <v>0</v>
      </c>
      <c r="D20" s="240"/>
      <c r="E20" s="165">
        <v>887</v>
      </c>
      <c r="F20" s="31"/>
      <c r="G20" s="166">
        <v>257.64999999999998</v>
      </c>
      <c r="H20" s="209"/>
      <c r="I20" s="165">
        <v>987</v>
      </c>
    </row>
    <row r="21" spans="2:12" ht="14.85" customHeight="1" x14ac:dyDescent="0.25">
      <c r="B21" s="2" t="s">
        <v>121</v>
      </c>
      <c r="C21" s="294">
        <v>0</v>
      </c>
      <c r="D21" s="239"/>
      <c r="E21" s="172">
        <v>1000</v>
      </c>
      <c r="F21" s="31"/>
      <c r="G21" s="172">
        <v>0</v>
      </c>
      <c r="H21" s="210"/>
      <c r="I21" s="172">
        <v>1000</v>
      </c>
    </row>
    <row r="22" spans="2:12" ht="14.85" customHeight="1" x14ac:dyDescent="0.25">
      <c r="B22" s="2" t="s">
        <v>122</v>
      </c>
      <c r="C22" s="294">
        <v>0</v>
      </c>
      <c r="D22" s="239"/>
      <c r="E22" s="172">
        <v>1500</v>
      </c>
      <c r="F22" s="31"/>
      <c r="G22" s="172">
        <v>280.5</v>
      </c>
      <c r="H22" s="210"/>
      <c r="I22" s="172">
        <v>1500</v>
      </c>
    </row>
    <row r="23" spans="2:12" ht="14.85" customHeight="1" x14ac:dyDescent="0.25">
      <c r="B23" s="2" t="s">
        <v>123</v>
      </c>
      <c r="C23" s="294">
        <v>4030</v>
      </c>
      <c r="D23" s="239"/>
      <c r="E23" s="172">
        <v>6500</v>
      </c>
      <c r="F23" s="31"/>
      <c r="G23" s="172">
        <v>1036</v>
      </c>
      <c r="H23" s="210"/>
      <c r="I23" s="172">
        <v>6500</v>
      </c>
    </row>
    <row r="24" spans="2:12" ht="14.85" customHeight="1" x14ac:dyDescent="0.25">
      <c r="B24" s="2" t="s">
        <v>124</v>
      </c>
      <c r="C24" s="294">
        <v>755.97</v>
      </c>
      <c r="D24" s="239"/>
      <c r="E24" s="172">
        <v>800</v>
      </c>
      <c r="F24" s="31"/>
      <c r="G24" s="172">
        <v>292</v>
      </c>
      <c r="H24" s="210"/>
      <c r="I24" s="172">
        <v>200</v>
      </c>
    </row>
    <row r="25" spans="2:12" ht="14.85" customHeight="1" x14ac:dyDescent="0.25">
      <c r="B25" s="2" t="s">
        <v>125</v>
      </c>
      <c r="C25" s="294">
        <v>2000</v>
      </c>
      <c r="D25" s="239"/>
      <c r="E25" s="172">
        <v>2000</v>
      </c>
      <c r="F25" s="31"/>
      <c r="G25" s="172">
        <v>2000</v>
      </c>
      <c r="H25" s="210"/>
      <c r="I25" s="172">
        <v>2000</v>
      </c>
    </row>
    <row r="26" spans="2:12" ht="14.85" customHeight="1" x14ac:dyDescent="0.25">
      <c r="B26" s="2" t="s">
        <v>126</v>
      </c>
      <c r="C26" s="294">
        <v>2000</v>
      </c>
      <c r="D26" s="239"/>
      <c r="E26" s="172">
        <v>2000</v>
      </c>
      <c r="F26" s="31"/>
      <c r="G26" s="172">
        <v>860.1</v>
      </c>
      <c r="H26" s="210"/>
      <c r="I26" s="172">
        <v>2000</v>
      </c>
    </row>
    <row r="27" spans="2:12" ht="14.85" customHeight="1" x14ac:dyDescent="0.25">
      <c r="B27" s="2" t="s">
        <v>127</v>
      </c>
      <c r="C27" s="294">
        <v>2990</v>
      </c>
      <c r="D27" s="239"/>
      <c r="E27" s="172">
        <v>2890</v>
      </c>
      <c r="F27" s="31"/>
      <c r="G27" s="172">
        <v>2890</v>
      </c>
      <c r="H27" s="210"/>
      <c r="I27" s="172">
        <v>3170</v>
      </c>
    </row>
    <row r="28" spans="2:12" ht="14.85" customHeight="1" x14ac:dyDescent="0.25">
      <c r="B28" s="2" t="s">
        <v>128</v>
      </c>
      <c r="C28" s="294">
        <f>7147.27+2566.49+654.18</f>
        <v>10367.94</v>
      </c>
      <c r="D28" s="239"/>
      <c r="E28" s="292">
        <v>14000</v>
      </c>
      <c r="F28" s="31"/>
      <c r="G28" s="292">
        <f>23406.5+2557.5+537.5</f>
        <v>26501.5</v>
      </c>
      <c r="H28" s="210"/>
      <c r="I28" s="292">
        <v>16000</v>
      </c>
    </row>
    <row r="29" spans="2:12" ht="14.85" customHeight="1" x14ac:dyDescent="0.25">
      <c r="B29" s="2" t="s">
        <v>129</v>
      </c>
      <c r="C29" s="294">
        <v>4993.2</v>
      </c>
      <c r="D29" s="239"/>
      <c r="E29" s="172">
        <v>5135</v>
      </c>
      <c r="F29" s="31"/>
      <c r="G29" s="172">
        <v>3616.05</v>
      </c>
      <c r="H29" s="210"/>
      <c r="I29" s="172">
        <v>7189</v>
      </c>
    </row>
    <row r="30" spans="2:12" ht="14.85" customHeight="1" x14ac:dyDescent="0.25">
      <c r="B30" s="2" t="s">
        <v>130</v>
      </c>
      <c r="C30" s="294">
        <v>0</v>
      </c>
      <c r="D30" s="239"/>
      <c r="E30" s="172">
        <v>700</v>
      </c>
      <c r="F30" s="31"/>
      <c r="G30" s="172">
        <v>444.57</v>
      </c>
      <c r="H30" s="210"/>
      <c r="I30" s="172">
        <v>1000</v>
      </c>
    </row>
    <row r="31" spans="2:12" ht="14.85" customHeight="1" x14ac:dyDescent="0.25">
      <c r="B31" s="2" t="s">
        <v>131</v>
      </c>
      <c r="C31" s="294">
        <v>0</v>
      </c>
      <c r="D31" s="239"/>
      <c r="E31" s="172">
        <v>1000</v>
      </c>
      <c r="F31" s="31"/>
      <c r="G31" s="172">
        <v>1000</v>
      </c>
      <c r="H31" s="210"/>
      <c r="I31" s="172">
        <v>1000</v>
      </c>
    </row>
    <row r="32" spans="2:12" ht="14.85" customHeight="1" x14ac:dyDescent="0.25">
      <c r="B32" s="2" t="s">
        <v>132</v>
      </c>
      <c r="C32" s="294">
        <v>3000</v>
      </c>
      <c r="D32" s="239"/>
      <c r="E32" s="172">
        <v>6000</v>
      </c>
      <c r="F32" s="31"/>
      <c r="G32" s="172">
        <v>5205.7</v>
      </c>
      <c r="H32" s="210"/>
      <c r="I32" s="172">
        <v>6000</v>
      </c>
    </row>
    <row r="33" spans="2:15" ht="14.85" customHeight="1" x14ac:dyDescent="0.25">
      <c r="B33" s="2" t="s">
        <v>133</v>
      </c>
      <c r="C33" s="294">
        <v>0</v>
      </c>
      <c r="D33" s="239"/>
      <c r="E33" s="172">
        <v>500</v>
      </c>
      <c r="F33" s="31"/>
      <c r="G33" s="172">
        <v>500</v>
      </c>
      <c r="H33" s="210"/>
      <c r="I33" s="172">
        <v>500</v>
      </c>
    </row>
    <row r="34" spans="2:15" ht="14.85" customHeight="1" x14ac:dyDescent="0.25">
      <c r="B34" s="2" t="s">
        <v>134</v>
      </c>
      <c r="C34" s="294">
        <f>361.94+812.74</f>
        <v>1174.68</v>
      </c>
      <c r="D34" s="239"/>
      <c r="E34" s="292">
        <v>27460</v>
      </c>
      <c r="F34" s="31"/>
      <c r="G34" s="292">
        <v>0</v>
      </c>
      <c r="H34" s="210"/>
      <c r="I34" s="326"/>
      <c r="K34" s="352"/>
      <c r="L34" s="353"/>
      <c r="M34" s="353"/>
      <c r="N34" s="353"/>
    </row>
    <row r="35" spans="2:15" ht="14.85" customHeight="1" x14ac:dyDescent="0.25">
      <c r="B35" s="2" t="s">
        <v>135</v>
      </c>
      <c r="C35" s="294">
        <v>0</v>
      </c>
      <c r="D35" s="239"/>
      <c r="E35" s="172">
        <v>1900</v>
      </c>
      <c r="F35" s="31"/>
      <c r="G35" s="172">
        <v>0</v>
      </c>
      <c r="H35" s="210"/>
      <c r="I35" s="172">
        <v>1900</v>
      </c>
    </row>
    <row r="36" spans="2:15" ht="14.85" customHeight="1" x14ac:dyDescent="0.25">
      <c r="B36" s="2" t="s">
        <v>136</v>
      </c>
      <c r="C36" s="294">
        <v>400</v>
      </c>
      <c r="D36" s="239"/>
      <c r="E36" s="172">
        <v>200</v>
      </c>
      <c r="F36" s="31"/>
      <c r="G36" s="172">
        <v>0</v>
      </c>
      <c r="H36" s="210"/>
      <c r="I36" s="172">
        <v>20</v>
      </c>
    </row>
    <row r="37" spans="2:15" ht="14.85" customHeight="1" x14ac:dyDescent="0.25">
      <c r="B37" s="301" t="s">
        <v>159</v>
      </c>
      <c r="C37" s="294">
        <v>0</v>
      </c>
      <c r="D37" s="239"/>
      <c r="E37" s="292">
        <v>0</v>
      </c>
      <c r="F37" s="31"/>
      <c r="G37" s="292">
        <v>0</v>
      </c>
      <c r="H37" s="210"/>
      <c r="I37" s="292">
        <v>0</v>
      </c>
    </row>
    <row r="38" spans="2:15" ht="14.85" customHeight="1" x14ac:dyDescent="0.25">
      <c r="B38" s="2" t="s">
        <v>175</v>
      </c>
      <c r="C38" s="294">
        <v>405</v>
      </c>
      <c r="D38" s="239"/>
      <c r="E38" s="172">
        <v>4740</v>
      </c>
      <c r="F38" s="31"/>
      <c r="G38" s="172">
        <v>3561.95</v>
      </c>
      <c r="H38" s="210"/>
      <c r="I38" s="172">
        <v>6960</v>
      </c>
    </row>
    <row r="39" spans="2:15" ht="14.85" customHeight="1" x14ac:dyDescent="0.25">
      <c r="B39" s="2" t="s">
        <v>191</v>
      </c>
      <c r="C39" s="294">
        <v>0</v>
      </c>
      <c r="D39" s="239"/>
      <c r="E39" s="172">
        <v>900</v>
      </c>
      <c r="F39" s="31"/>
      <c r="G39" s="172">
        <v>52</v>
      </c>
      <c r="H39" s="210"/>
      <c r="I39" s="172">
        <v>900</v>
      </c>
    </row>
    <row r="40" spans="2:15" ht="14.85" customHeight="1" x14ac:dyDescent="0.25">
      <c r="B40" s="2" t="s">
        <v>177</v>
      </c>
      <c r="C40" s="294">
        <v>900</v>
      </c>
      <c r="D40" s="239"/>
      <c r="E40" s="172">
        <v>900</v>
      </c>
      <c r="F40" s="31"/>
      <c r="G40" s="172">
        <v>900</v>
      </c>
      <c r="H40" s="210"/>
      <c r="I40" s="172">
        <v>900</v>
      </c>
    </row>
    <row r="41" spans="2:15" ht="14.85" customHeight="1" x14ac:dyDescent="0.25">
      <c r="B41" s="2" t="s">
        <v>178</v>
      </c>
      <c r="C41" s="294">
        <v>900</v>
      </c>
      <c r="D41" s="239"/>
      <c r="E41" s="172">
        <v>900</v>
      </c>
      <c r="F41" s="31"/>
      <c r="G41" s="172">
        <v>900</v>
      </c>
      <c r="H41" s="210"/>
      <c r="I41" s="172">
        <v>900</v>
      </c>
    </row>
    <row r="42" spans="2:15" ht="14.85" customHeight="1" x14ac:dyDescent="0.25">
      <c r="B42" s="2" t="s">
        <v>179</v>
      </c>
      <c r="C42" s="294">
        <v>900</v>
      </c>
      <c r="D42" s="239"/>
      <c r="E42" s="172">
        <v>900</v>
      </c>
      <c r="F42" s="31"/>
      <c r="G42" s="172">
        <v>900</v>
      </c>
      <c r="H42" s="210"/>
      <c r="I42" s="172">
        <v>900</v>
      </c>
    </row>
    <row r="43" spans="2:15" ht="14.85" customHeight="1" x14ac:dyDescent="0.25">
      <c r="B43" s="301" t="s">
        <v>180</v>
      </c>
      <c r="C43" s="294">
        <v>0</v>
      </c>
      <c r="D43" s="239"/>
      <c r="E43" s="172">
        <v>0</v>
      </c>
      <c r="F43" s="31"/>
      <c r="G43" s="172">
        <v>0</v>
      </c>
      <c r="H43" s="210"/>
      <c r="I43" s="172">
        <v>0</v>
      </c>
    </row>
    <row r="44" spans="2:15" ht="14.85" customHeight="1" x14ac:dyDescent="0.25">
      <c r="B44" s="2" t="s">
        <v>181</v>
      </c>
      <c r="C44" s="294">
        <v>900</v>
      </c>
      <c r="D44" s="239"/>
      <c r="E44" s="172">
        <v>900</v>
      </c>
      <c r="F44" s="31"/>
      <c r="G44" s="172">
        <v>900</v>
      </c>
      <c r="H44" s="210"/>
      <c r="I44" s="172">
        <v>900</v>
      </c>
    </row>
    <row r="45" spans="2:15" ht="14.85" customHeight="1" x14ac:dyDescent="0.25">
      <c r="B45" s="2" t="s">
        <v>182</v>
      </c>
      <c r="C45" s="294">
        <v>0</v>
      </c>
      <c r="D45" s="239"/>
      <c r="E45" s="172">
        <v>0</v>
      </c>
      <c r="F45" s="31"/>
      <c r="G45" s="172">
        <v>0</v>
      </c>
      <c r="H45" s="210"/>
      <c r="I45" s="172">
        <v>0</v>
      </c>
    </row>
    <row r="46" spans="2:15" ht="14.85" customHeight="1" x14ac:dyDescent="0.25">
      <c r="B46" s="2" t="s">
        <v>183</v>
      </c>
      <c r="C46" s="294">
        <f>17213.4+42489.7+13530.44</f>
        <v>73233.539999999994</v>
      </c>
      <c r="D46" s="239"/>
      <c r="E46" s="172">
        <v>84720</v>
      </c>
      <c r="F46" s="31"/>
      <c r="G46" s="172">
        <f>21177.78+44528.1+14075.8+1724.41</f>
        <v>81506.090000000011</v>
      </c>
      <c r="H46" s="210"/>
      <c r="I46" s="172">
        <v>85000</v>
      </c>
      <c r="N46" s="97"/>
      <c r="O46" s="97"/>
    </row>
    <row r="47" spans="2:15" ht="14.85" customHeight="1" x14ac:dyDescent="0.25">
      <c r="B47" s="6" t="s">
        <v>184</v>
      </c>
      <c r="C47" s="294">
        <f>5999.87+32746.16+10331.78</f>
        <v>49077.81</v>
      </c>
      <c r="D47" s="243"/>
      <c r="E47" s="172">
        <v>50000</v>
      </c>
      <c r="F47" s="34"/>
      <c r="G47" s="172">
        <f>24442.83+7298.27</f>
        <v>31741.100000000002</v>
      </c>
      <c r="H47" s="210"/>
      <c r="I47" s="172">
        <v>40000</v>
      </c>
      <c r="M47" s="97"/>
      <c r="N47" s="97"/>
      <c r="O47" s="97"/>
    </row>
    <row r="48" spans="2:15" ht="14.85" customHeight="1" x14ac:dyDescent="0.25">
      <c r="B48" s="6" t="s">
        <v>185</v>
      </c>
      <c r="C48" s="294">
        <f>21214.91+5469.89</f>
        <v>26684.799999999999</v>
      </c>
      <c r="D48" s="243"/>
      <c r="E48" s="172">
        <v>29000</v>
      </c>
      <c r="F48" s="34"/>
      <c r="G48" s="172">
        <f>21276.77+5690.94</f>
        <v>26967.71</v>
      </c>
      <c r="H48" s="210"/>
      <c r="I48" s="172">
        <v>27942</v>
      </c>
      <c r="N48" s="97"/>
      <c r="O48" s="97"/>
    </row>
    <row r="49" spans="2:15" ht="14.85" customHeight="1" x14ac:dyDescent="0.25">
      <c r="B49" s="6" t="s">
        <v>186</v>
      </c>
      <c r="C49" s="294">
        <f>9203.43+904.23+8377.1</f>
        <v>18484.760000000002</v>
      </c>
      <c r="D49" s="243"/>
      <c r="E49" s="172">
        <v>25000</v>
      </c>
      <c r="F49" s="34"/>
      <c r="G49" s="172">
        <f>218.9</f>
        <v>218.9</v>
      </c>
      <c r="H49" s="210"/>
      <c r="I49" s="326">
        <v>6000</v>
      </c>
    </row>
    <row r="50" spans="2:15" ht="14.85" customHeight="1" x14ac:dyDescent="0.25">
      <c r="B50" s="2" t="s">
        <v>194</v>
      </c>
      <c r="C50" s="292">
        <v>9084</v>
      </c>
      <c r="D50" s="239"/>
      <c r="E50" s="166">
        <v>9500</v>
      </c>
      <c r="F50" s="31"/>
      <c r="G50" s="166">
        <v>7692</v>
      </c>
      <c r="H50" s="210"/>
      <c r="I50" s="166">
        <v>9500</v>
      </c>
    </row>
    <row r="51" spans="2:15" ht="14.85" customHeight="1" x14ac:dyDescent="0.25">
      <c r="B51" s="2" t="s">
        <v>195</v>
      </c>
      <c r="C51" s="313">
        <f>205779.96+33635.65+10616.38</f>
        <v>250031.99</v>
      </c>
      <c r="D51" s="239"/>
      <c r="E51" s="295">
        <v>85000</v>
      </c>
      <c r="F51" s="31"/>
      <c r="G51" s="295">
        <f>32990.72+30850.96+10587.18</f>
        <v>74428.86</v>
      </c>
      <c r="H51" s="210"/>
      <c r="I51" s="295">
        <v>67000</v>
      </c>
      <c r="M51" s="97"/>
      <c r="N51" s="97"/>
      <c r="O51" s="97"/>
    </row>
    <row r="52" spans="2:15" ht="14.85" customHeight="1" thickBot="1" x14ac:dyDescent="0.3">
      <c r="B52" s="6" t="s">
        <v>196</v>
      </c>
      <c r="C52" s="294">
        <v>0</v>
      </c>
      <c r="D52" s="243"/>
      <c r="E52" s="173">
        <v>6000</v>
      </c>
      <c r="F52" s="34"/>
      <c r="G52" s="173">
        <v>0</v>
      </c>
      <c r="H52" s="210"/>
      <c r="I52" s="173">
        <v>6000</v>
      </c>
    </row>
    <row r="53" spans="2:15" s="83" customFormat="1" ht="17.100000000000001" customHeight="1" thickBot="1" x14ac:dyDescent="0.3">
      <c r="B53" s="89" t="s">
        <v>2</v>
      </c>
      <c r="C53" s="103">
        <f>SUM(C54:C61)</f>
        <v>102668.31999999999</v>
      </c>
      <c r="D53" s="241"/>
      <c r="E53" s="103">
        <f>SUM(E54:E61)</f>
        <v>97786</v>
      </c>
      <c r="F53" s="213"/>
      <c r="G53" s="103">
        <f>SUM(G54:G61)</f>
        <v>77411.55</v>
      </c>
      <c r="H53" s="208"/>
      <c r="I53" s="103">
        <f>SUM(I54:I61)</f>
        <v>106636</v>
      </c>
      <c r="J53" s="132"/>
      <c r="K53" s="144"/>
      <c r="L53" s="115"/>
    </row>
    <row r="54" spans="2:15" ht="14.85" customHeight="1" x14ac:dyDescent="0.25">
      <c r="B54" s="2" t="s">
        <v>105</v>
      </c>
      <c r="C54" s="294">
        <v>0</v>
      </c>
      <c r="D54" s="239"/>
      <c r="E54" s="162">
        <v>1000</v>
      </c>
      <c r="F54" s="31"/>
      <c r="G54" s="162">
        <v>531.88</v>
      </c>
      <c r="H54" s="209"/>
      <c r="I54" s="162">
        <v>1000</v>
      </c>
    </row>
    <row r="55" spans="2:15" ht="14.85" customHeight="1" x14ac:dyDescent="0.25">
      <c r="B55" s="2" t="s">
        <v>106</v>
      </c>
      <c r="C55" s="294">
        <v>0</v>
      </c>
      <c r="D55" s="239"/>
      <c r="E55" s="162">
        <v>1500</v>
      </c>
      <c r="F55" s="31"/>
      <c r="G55" s="162">
        <v>313</v>
      </c>
      <c r="H55" s="209"/>
      <c r="I55" s="162">
        <v>1500</v>
      </c>
    </row>
    <row r="56" spans="2:15" ht="14.85" customHeight="1" x14ac:dyDescent="0.25">
      <c r="B56" s="2" t="s">
        <v>117</v>
      </c>
      <c r="C56" s="294">
        <v>319</v>
      </c>
      <c r="D56" s="239"/>
      <c r="E56" s="162">
        <v>1000</v>
      </c>
      <c r="F56" s="31"/>
      <c r="G56" s="162">
        <v>322.77</v>
      </c>
      <c r="H56" s="209"/>
      <c r="I56" s="162">
        <v>1000</v>
      </c>
    </row>
    <row r="57" spans="2:15" ht="14.85" customHeight="1" x14ac:dyDescent="0.25">
      <c r="B57" s="2" t="s">
        <v>107</v>
      </c>
      <c r="C57" s="294">
        <v>0</v>
      </c>
      <c r="D57" s="239"/>
      <c r="E57" s="165">
        <v>1000</v>
      </c>
      <c r="F57" s="31"/>
      <c r="G57" s="165">
        <v>0</v>
      </c>
      <c r="H57" s="209"/>
      <c r="I57" s="165">
        <v>1000</v>
      </c>
    </row>
    <row r="58" spans="2:15" ht="14.85" customHeight="1" x14ac:dyDescent="0.25">
      <c r="B58" s="2" t="s">
        <v>108</v>
      </c>
      <c r="C58" s="294">
        <v>77535.45</v>
      </c>
      <c r="D58" s="239"/>
      <c r="E58" s="165">
        <v>65000</v>
      </c>
      <c r="F58" s="31"/>
      <c r="G58" s="165">
        <v>48133.54</v>
      </c>
      <c r="H58" s="209"/>
      <c r="I58" s="165">
        <v>74000</v>
      </c>
    </row>
    <row r="59" spans="2:15" ht="14.85" customHeight="1" x14ac:dyDescent="0.25">
      <c r="B59" s="6" t="s">
        <v>109</v>
      </c>
      <c r="C59" s="294">
        <v>21636</v>
      </c>
      <c r="D59" s="243"/>
      <c r="E59" s="293">
        <v>21636</v>
      </c>
      <c r="F59" s="34"/>
      <c r="G59" s="293">
        <v>21636</v>
      </c>
      <c r="H59" s="209"/>
      <c r="I59" s="293">
        <v>21636</v>
      </c>
    </row>
    <row r="60" spans="2:15" ht="14.85" customHeight="1" x14ac:dyDescent="0.25">
      <c r="B60" s="2" t="s">
        <v>110</v>
      </c>
      <c r="C60" s="294">
        <v>3177.87</v>
      </c>
      <c r="D60" s="239"/>
      <c r="E60" s="165">
        <v>6000</v>
      </c>
      <c r="F60" s="31"/>
      <c r="G60" s="293">
        <f>2836.36+3638</f>
        <v>6474.3600000000006</v>
      </c>
      <c r="H60" s="209"/>
      <c r="I60" s="165">
        <v>6000</v>
      </c>
      <c r="M60" s="97"/>
      <c r="N60" s="97"/>
    </row>
    <row r="61" spans="2:15" ht="14.85" customHeight="1" thickBot="1" x14ac:dyDescent="0.3">
      <c r="B61" s="7" t="s">
        <v>111</v>
      </c>
      <c r="C61" s="314">
        <v>0</v>
      </c>
      <c r="D61" s="239"/>
      <c r="E61" s="168">
        <v>650</v>
      </c>
      <c r="F61" s="31"/>
      <c r="G61" s="168">
        <v>0</v>
      </c>
      <c r="H61" s="209"/>
      <c r="I61" s="168">
        <v>500</v>
      </c>
    </row>
    <row r="62" spans="2:15" s="83" customFormat="1" ht="16.5" customHeight="1" thickBot="1" x14ac:dyDescent="0.3">
      <c r="B62" s="89" t="s">
        <v>3</v>
      </c>
      <c r="C62" s="103">
        <f>SUM(C63:C67)</f>
        <v>390202</v>
      </c>
      <c r="D62" s="241"/>
      <c r="E62" s="103">
        <f>SUM(E63:E67)</f>
        <v>389762</v>
      </c>
      <c r="F62" s="213"/>
      <c r="G62" s="103">
        <f>SUM(G63:G67)</f>
        <v>40074.300000000003</v>
      </c>
      <c r="H62" s="208"/>
      <c r="I62" s="103">
        <f>SUM(I63:I67)</f>
        <v>39560</v>
      </c>
      <c r="J62" s="132"/>
      <c r="K62" s="144"/>
      <c r="L62" s="115"/>
    </row>
    <row r="63" spans="2:15" ht="14.85" customHeight="1" x14ac:dyDescent="0.25">
      <c r="B63" s="2" t="s">
        <v>165</v>
      </c>
      <c r="C63" s="294">
        <v>17560</v>
      </c>
      <c r="D63" s="239"/>
      <c r="E63" s="293">
        <v>17560</v>
      </c>
      <c r="F63" s="31"/>
      <c r="G63" s="294">
        <v>17560</v>
      </c>
      <c r="H63" s="209"/>
      <c r="I63" s="327">
        <v>17560</v>
      </c>
      <c r="J63" s="176"/>
    </row>
    <row r="64" spans="2:15" ht="14.85" customHeight="1" x14ac:dyDescent="0.25">
      <c r="B64" s="7" t="s">
        <v>166</v>
      </c>
      <c r="C64" s="295">
        <v>2440</v>
      </c>
      <c r="D64" s="239"/>
      <c r="E64" s="170">
        <v>2000</v>
      </c>
      <c r="F64" s="31"/>
      <c r="G64" s="171">
        <v>3514.3</v>
      </c>
      <c r="H64" s="209"/>
      <c r="I64" s="298">
        <v>3000</v>
      </c>
    </row>
    <row r="65" spans="2:17" ht="14.85" customHeight="1" x14ac:dyDescent="0.25">
      <c r="B65" s="2" t="s">
        <v>167</v>
      </c>
      <c r="C65" s="295">
        <v>6000</v>
      </c>
      <c r="D65" s="239"/>
      <c r="E65" s="165">
        <v>6000</v>
      </c>
      <c r="F65" s="31"/>
      <c r="G65" s="166">
        <v>6000</v>
      </c>
      <c r="H65" s="209"/>
      <c r="I65" s="165">
        <v>6000</v>
      </c>
    </row>
    <row r="66" spans="2:17" ht="14.85" customHeight="1" x14ac:dyDescent="0.25">
      <c r="B66" s="29" t="s">
        <v>168</v>
      </c>
      <c r="C66" s="295">
        <v>351202</v>
      </c>
      <c r="D66" s="239"/>
      <c r="E66" s="298">
        <v>351202</v>
      </c>
      <c r="F66" s="31"/>
      <c r="G66" s="295">
        <v>0</v>
      </c>
      <c r="H66" s="209"/>
      <c r="I66" s="298">
        <v>0</v>
      </c>
    </row>
    <row r="67" spans="2:17" ht="14.85" customHeight="1" thickBot="1" x14ac:dyDescent="0.3">
      <c r="B67" s="30" t="s">
        <v>169</v>
      </c>
      <c r="C67" s="314">
        <v>13000</v>
      </c>
      <c r="D67" s="239"/>
      <c r="E67" s="168">
        <v>13000</v>
      </c>
      <c r="F67" s="31"/>
      <c r="G67" s="173">
        <v>13000</v>
      </c>
      <c r="H67" s="209"/>
      <c r="I67" s="168">
        <v>13000</v>
      </c>
    </row>
    <row r="68" spans="2:17" s="83" customFormat="1" ht="16.5" customHeight="1" thickBot="1" x14ac:dyDescent="0.3">
      <c r="B68" s="89" t="s">
        <v>4</v>
      </c>
      <c r="C68" s="103">
        <f>SUM(C69:C82)</f>
        <v>735032.01</v>
      </c>
      <c r="D68" s="241"/>
      <c r="E68" s="103">
        <f>SUM(E69:E82)</f>
        <v>611300</v>
      </c>
      <c r="F68" s="213"/>
      <c r="G68" s="103">
        <f>SUM(G69:G82)</f>
        <v>733439.76999999979</v>
      </c>
      <c r="H68" s="208"/>
      <c r="I68" s="103">
        <f>SUM(I69:I82)</f>
        <v>693300</v>
      </c>
      <c r="J68" s="132"/>
      <c r="K68" s="144"/>
      <c r="L68" s="115"/>
    </row>
    <row r="69" spans="2:17" ht="14.85" customHeight="1" x14ac:dyDescent="0.25">
      <c r="B69" s="2" t="s">
        <v>75</v>
      </c>
      <c r="C69" s="296">
        <v>69175.13</v>
      </c>
      <c r="D69" s="239"/>
      <c r="E69" s="291">
        <v>25000</v>
      </c>
      <c r="F69" s="31"/>
      <c r="G69" s="296">
        <v>28208</v>
      </c>
      <c r="H69" s="209"/>
      <c r="I69" s="291">
        <v>20000</v>
      </c>
    </row>
    <row r="70" spans="2:17" ht="14.85" customHeight="1" x14ac:dyDescent="0.25">
      <c r="B70" s="2" t="s">
        <v>148</v>
      </c>
      <c r="C70" s="294">
        <f>1042.82+173.82+3506.32</f>
        <v>4722.96</v>
      </c>
      <c r="D70" s="239"/>
      <c r="E70" s="165">
        <v>15000</v>
      </c>
      <c r="F70" s="31"/>
      <c r="G70" s="166">
        <f>1820.82+11695.76</f>
        <v>13516.58</v>
      </c>
      <c r="H70" s="209"/>
      <c r="I70" s="165">
        <v>15000</v>
      </c>
    </row>
    <row r="71" spans="2:17" ht="14.85" customHeight="1" x14ac:dyDescent="0.25">
      <c r="B71" s="3" t="s">
        <v>149</v>
      </c>
      <c r="C71" s="294">
        <v>53336.7</v>
      </c>
      <c r="D71" s="244"/>
      <c r="E71" s="293">
        <v>25000</v>
      </c>
      <c r="F71" s="215"/>
      <c r="G71" s="294">
        <v>90185.52</v>
      </c>
      <c r="H71" s="209"/>
      <c r="I71" s="293">
        <v>46000</v>
      </c>
    </row>
    <row r="72" spans="2:17" ht="14.85" customHeight="1" x14ac:dyDescent="0.25">
      <c r="B72" s="3" t="s">
        <v>150</v>
      </c>
      <c r="C72" s="294">
        <v>119.84</v>
      </c>
      <c r="D72" s="244"/>
      <c r="E72" s="165">
        <v>2000</v>
      </c>
      <c r="F72" s="215"/>
      <c r="G72" s="166">
        <v>1263.6199999999999</v>
      </c>
      <c r="H72" s="209"/>
      <c r="I72" s="165">
        <v>1700</v>
      </c>
    </row>
    <row r="73" spans="2:17" ht="14.85" customHeight="1" x14ac:dyDescent="0.25">
      <c r="B73" s="3" t="s">
        <v>151</v>
      </c>
      <c r="C73" s="294">
        <v>0</v>
      </c>
      <c r="D73" s="244"/>
      <c r="E73" s="165">
        <v>1400</v>
      </c>
      <c r="F73" s="215"/>
      <c r="G73" s="166">
        <v>444.62</v>
      </c>
      <c r="H73" s="209"/>
      <c r="I73" s="165">
        <v>700</v>
      </c>
    </row>
    <row r="74" spans="2:17" ht="14.85" customHeight="1" x14ac:dyDescent="0.25">
      <c r="B74" s="29" t="s">
        <v>152</v>
      </c>
      <c r="C74" s="294">
        <f>143139.26+93103.68+25479.86</f>
        <v>261722.8</v>
      </c>
      <c r="D74" s="240"/>
      <c r="E74" s="165">
        <v>230000</v>
      </c>
      <c r="F74" s="31"/>
      <c r="G74" s="166">
        <f>181541.03+92883.07+29423.04+1643.69</f>
        <v>305490.82999999996</v>
      </c>
      <c r="H74" s="209"/>
      <c r="I74" s="165">
        <v>305000</v>
      </c>
      <c r="M74" s="97"/>
      <c r="N74" s="97"/>
      <c r="O74" s="97"/>
    </row>
    <row r="75" spans="2:17" ht="14.85" customHeight="1" x14ac:dyDescent="0.25">
      <c r="B75" s="7" t="s">
        <v>160</v>
      </c>
      <c r="C75" s="294">
        <v>11354.51</v>
      </c>
      <c r="D75" s="239"/>
      <c r="E75" s="165">
        <v>3000</v>
      </c>
      <c r="F75" s="31"/>
      <c r="G75" s="166">
        <v>2136.6799999999998</v>
      </c>
      <c r="H75" s="209"/>
      <c r="I75" s="165">
        <v>2500</v>
      </c>
    </row>
    <row r="76" spans="2:17" ht="14.85" customHeight="1" x14ac:dyDescent="0.25">
      <c r="B76" s="2" t="s">
        <v>153</v>
      </c>
      <c r="C76" s="295">
        <f>95157.51+37743.52+11164.47</f>
        <v>144065.5</v>
      </c>
      <c r="D76" s="239"/>
      <c r="E76" s="293">
        <v>135000</v>
      </c>
      <c r="F76" s="31"/>
      <c r="G76" s="294">
        <f>95750.29+23839.21+7488</f>
        <v>127077.5</v>
      </c>
      <c r="H76" s="209"/>
      <c r="I76" s="293">
        <v>130000</v>
      </c>
      <c r="M76" s="97"/>
      <c r="N76" s="97"/>
      <c r="O76" s="97"/>
    </row>
    <row r="77" spans="2:17" ht="14.85" customHeight="1" x14ac:dyDescent="0.25">
      <c r="B77" s="29" t="s">
        <v>154</v>
      </c>
      <c r="C77" s="295">
        <f>26749.44+22451.02+7187.03</f>
        <v>56387.49</v>
      </c>
      <c r="D77" s="239"/>
      <c r="E77" s="293">
        <v>35000</v>
      </c>
      <c r="F77" s="31"/>
      <c r="G77" s="294">
        <f>16031.73+22648.78+7136.19</f>
        <v>45816.7</v>
      </c>
      <c r="H77" s="209"/>
      <c r="I77" s="293">
        <v>47000</v>
      </c>
      <c r="M77" s="97"/>
      <c r="N77" s="97"/>
      <c r="O77" s="97"/>
      <c r="Q77" s="97">
        <f>O77+P77</f>
        <v>0</v>
      </c>
    </row>
    <row r="78" spans="2:17" ht="14.85" customHeight="1" x14ac:dyDescent="0.25">
      <c r="B78" s="7" t="s">
        <v>155</v>
      </c>
      <c r="C78" s="295">
        <f>13891.7+13178.06+4164.42</f>
        <v>31234.18</v>
      </c>
      <c r="D78" s="239"/>
      <c r="E78" s="293">
        <v>29500</v>
      </c>
      <c r="F78" s="31"/>
      <c r="G78" s="294">
        <f>1935.02+13369.98+4188.34</f>
        <v>19493.34</v>
      </c>
      <c r="H78" s="209"/>
      <c r="I78" s="293">
        <v>21000</v>
      </c>
      <c r="M78" s="97"/>
      <c r="N78" s="97"/>
      <c r="O78" s="97"/>
    </row>
    <row r="79" spans="2:17" ht="14.85" customHeight="1" x14ac:dyDescent="0.25">
      <c r="B79" s="42" t="s">
        <v>189</v>
      </c>
      <c r="C79" s="295">
        <f>21931.97+55168.81+15402.12</f>
        <v>92502.9</v>
      </c>
      <c r="D79" s="232"/>
      <c r="E79" s="165">
        <v>95000</v>
      </c>
      <c r="F79" s="193"/>
      <c r="G79" s="166">
        <f>22771.99+48810.05+15402.12</f>
        <v>86984.16</v>
      </c>
      <c r="H79" s="209"/>
      <c r="I79" s="165">
        <v>90000</v>
      </c>
      <c r="M79" s="97"/>
      <c r="N79" s="97"/>
      <c r="O79" s="97"/>
    </row>
    <row r="80" spans="2:17" ht="14.85" customHeight="1" x14ac:dyDescent="0.25">
      <c r="B80" s="268" t="s">
        <v>190</v>
      </c>
      <c r="C80" s="295">
        <v>1710</v>
      </c>
      <c r="D80" s="245"/>
      <c r="E80" s="204">
        <v>1800</v>
      </c>
      <c r="F80" s="193"/>
      <c r="G80" s="171">
        <v>1811.52</v>
      </c>
      <c r="H80" s="211"/>
      <c r="I80" s="204">
        <v>1900</v>
      </c>
      <c r="M80" s="97"/>
      <c r="N80" s="97"/>
      <c r="O80" s="97"/>
    </row>
    <row r="81" spans="2:15" ht="14.85" customHeight="1" x14ac:dyDescent="0.25">
      <c r="B81" s="268" t="s">
        <v>210</v>
      </c>
      <c r="C81" s="295">
        <v>0</v>
      </c>
      <c r="D81" s="245"/>
      <c r="E81" s="204">
        <v>12000</v>
      </c>
      <c r="F81" s="193"/>
      <c r="G81" s="171">
        <v>11000</v>
      </c>
      <c r="H81" s="211"/>
      <c r="I81" s="204">
        <v>12000</v>
      </c>
      <c r="M81" s="97"/>
      <c r="N81" s="97"/>
      <c r="O81" s="97"/>
    </row>
    <row r="82" spans="2:15" ht="14.85" customHeight="1" thickBot="1" x14ac:dyDescent="0.3">
      <c r="B82" s="268" t="s">
        <v>209</v>
      </c>
      <c r="C82" s="314">
        <v>8700</v>
      </c>
      <c r="D82" s="245"/>
      <c r="E82" s="299">
        <v>1600</v>
      </c>
      <c r="F82" s="193"/>
      <c r="G82" s="314">
        <v>10.7</v>
      </c>
      <c r="H82" s="211"/>
      <c r="I82" s="299">
        <v>500</v>
      </c>
      <c r="M82" s="97"/>
      <c r="N82" s="97"/>
      <c r="O82" s="97"/>
    </row>
    <row r="83" spans="2:15" s="82" customFormat="1" ht="18" customHeight="1" thickBot="1" x14ac:dyDescent="0.3">
      <c r="B83" s="14"/>
      <c r="C83" s="17"/>
      <c r="D83" s="31"/>
      <c r="E83" s="17"/>
      <c r="F83" s="31"/>
      <c r="G83" s="17"/>
      <c r="H83" s="17"/>
      <c r="I83" s="17"/>
      <c r="J83" s="133"/>
      <c r="K83" s="146"/>
      <c r="L83" s="98"/>
    </row>
    <row r="84" spans="2:15" s="82" customFormat="1" ht="31.8" thickBot="1" x14ac:dyDescent="0.3">
      <c r="B84" s="112" t="s">
        <v>5</v>
      </c>
      <c r="C84" s="102">
        <f>SUM(C86:C92)</f>
        <v>1843591.3199999998</v>
      </c>
      <c r="D84" s="246"/>
      <c r="E84" s="102">
        <f>SUM(E86:E92)</f>
        <v>1833700</v>
      </c>
      <c r="F84" s="216"/>
      <c r="G84" s="102">
        <f>SUM(G86:G92)</f>
        <v>1835010.4300000002</v>
      </c>
      <c r="H84" s="207"/>
      <c r="I84" s="102">
        <f>SUM(I86:I92)</f>
        <v>1825100</v>
      </c>
      <c r="J84" s="129"/>
      <c r="K84" s="146"/>
      <c r="L84" s="98"/>
    </row>
    <row r="85" spans="2:15" s="82" customFormat="1" ht="9" customHeight="1" thickBot="1" x14ac:dyDescent="0.3">
      <c r="B85" s="15"/>
      <c r="C85" s="17"/>
      <c r="D85" s="31"/>
      <c r="E85" s="17"/>
      <c r="F85" s="31"/>
      <c r="G85" s="17"/>
      <c r="H85" s="17"/>
      <c r="I85" s="17"/>
      <c r="J85" s="133"/>
      <c r="K85" s="146"/>
      <c r="L85" s="98"/>
    </row>
    <row r="86" spans="2:15" ht="13.8" x14ac:dyDescent="0.25">
      <c r="B86" s="28" t="s">
        <v>76</v>
      </c>
      <c r="C86" s="296">
        <v>1013232.57</v>
      </c>
      <c r="D86" s="240"/>
      <c r="E86" s="291">
        <v>976000</v>
      </c>
      <c r="F86" s="31"/>
      <c r="G86" s="296">
        <v>1023823.32</v>
      </c>
      <c r="H86" s="209"/>
      <c r="I86" s="291">
        <v>1018000</v>
      </c>
      <c r="M86" s="97"/>
      <c r="N86" s="97"/>
    </row>
    <row r="87" spans="2:15" ht="13.8" x14ac:dyDescent="0.25">
      <c r="B87" s="29" t="s">
        <v>77</v>
      </c>
      <c r="C87" s="294">
        <f>141110.5+89714.28</f>
        <v>230824.78</v>
      </c>
      <c r="D87" s="240"/>
      <c r="E87" s="293">
        <v>265000</v>
      </c>
      <c r="F87" s="31"/>
      <c r="G87" s="294">
        <f>137300.8+89731.39</f>
        <v>227032.19</v>
      </c>
      <c r="H87" s="209"/>
      <c r="I87" s="293">
        <v>226500</v>
      </c>
      <c r="J87" s="136"/>
      <c r="M87" s="97"/>
      <c r="N87" s="303"/>
    </row>
    <row r="88" spans="2:15" s="83" customFormat="1" ht="13.5" customHeight="1" x14ac:dyDescent="0.25">
      <c r="B88" s="42" t="s">
        <v>78</v>
      </c>
      <c r="C88" s="294">
        <v>195105</v>
      </c>
      <c r="D88" s="232"/>
      <c r="E88" s="166">
        <v>186200</v>
      </c>
      <c r="F88" s="193"/>
      <c r="G88" s="166">
        <v>180490</v>
      </c>
      <c r="H88" s="210"/>
      <c r="I88" s="166">
        <v>173500</v>
      </c>
      <c r="J88" s="136"/>
      <c r="K88" s="144"/>
      <c r="L88" s="97"/>
      <c r="M88" s="97"/>
      <c r="N88" s="97"/>
    </row>
    <row r="89" spans="2:15" ht="13.8" x14ac:dyDescent="0.25">
      <c r="B89" s="29" t="s">
        <v>170</v>
      </c>
      <c r="C89" s="294">
        <v>203982.19</v>
      </c>
      <c r="D89" s="240"/>
      <c r="E89" s="293">
        <v>201000</v>
      </c>
      <c r="F89" s="31"/>
      <c r="G89" s="294">
        <v>205342.83</v>
      </c>
      <c r="H89" s="209"/>
      <c r="I89" s="293">
        <v>204000</v>
      </c>
      <c r="J89" s="149"/>
      <c r="K89" s="145"/>
      <c r="M89" s="97"/>
      <c r="N89" s="97"/>
    </row>
    <row r="90" spans="2:15" ht="13.8" x14ac:dyDescent="0.25">
      <c r="B90" s="29" t="s">
        <v>171</v>
      </c>
      <c r="C90" s="294">
        <v>18074.37</v>
      </c>
      <c r="D90" s="240"/>
      <c r="E90" s="293">
        <v>20500</v>
      </c>
      <c r="F90" s="31"/>
      <c r="G90" s="294">
        <v>17745.48</v>
      </c>
      <c r="H90" s="209"/>
      <c r="I90" s="293">
        <v>18100</v>
      </c>
      <c r="J90" s="149"/>
      <c r="K90" s="145"/>
      <c r="M90" s="97"/>
      <c r="N90" s="97"/>
    </row>
    <row r="91" spans="2:15" ht="13.8" x14ac:dyDescent="0.25">
      <c r="B91" s="270" t="s">
        <v>172</v>
      </c>
      <c r="C91" s="295">
        <f>159470.41+6862</f>
        <v>166332.41</v>
      </c>
      <c r="D91" s="240"/>
      <c r="E91" s="170">
        <v>165000</v>
      </c>
      <c r="F91" s="31"/>
      <c r="G91" s="171">
        <f>164749.82+151</f>
        <v>164900.82</v>
      </c>
      <c r="H91" s="209"/>
      <c r="I91" s="170">
        <v>165000</v>
      </c>
    </row>
    <row r="92" spans="2:15" ht="14.4" thickBot="1" x14ac:dyDescent="0.3">
      <c r="B92" s="30" t="s">
        <v>173</v>
      </c>
      <c r="C92" s="314">
        <v>16040</v>
      </c>
      <c r="D92" s="240"/>
      <c r="E92" s="168">
        <v>20000</v>
      </c>
      <c r="F92" s="31"/>
      <c r="G92" s="173">
        <f>15535.79+140</f>
        <v>15675.79</v>
      </c>
      <c r="H92" s="209"/>
      <c r="I92" s="168">
        <v>20000</v>
      </c>
    </row>
    <row r="93" spans="2:15" s="82" customFormat="1" ht="15" customHeight="1" thickBot="1" x14ac:dyDescent="0.3">
      <c r="B93" s="14"/>
      <c r="C93" s="17"/>
      <c r="D93" s="31"/>
      <c r="E93" s="17"/>
      <c r="F93" s="31"/>
      <c r="G93" s="17"/>
      <c r="H93" s="17"/>
      <c r="I93" s="17"/>
      <c r="J93" s="133"/>
      <c r="K93" s="146"/>
      <c r="L93" s="98"/>
    </row>
    <row r="94" spans="2:15" s="83" customFormat="1" ht="21" customHeight="1" thickBot="1" x14ac:dyDescent="0.3">
      <c r="B94" s="90" t="s">
        <v>69</v>
      </c>
      <c r="C94" s="102">
        <f>SUM(C96:C97)</f>
        <v>380939.43</v>
      </c>
      <c r="D94" s="247"/>
      <c r="E94" s="102">
        <f>SUM(E96:E97)</f>
        <v>381500</v>
      </c>
      <c r="F94" s="217"/>
      <c r="G94" s="102">
        <f>SUM(G96:G97)</f>
        <v>373437.99</v>
      </c>
      <c r="H94" s="207"/>
      <c r="I94" s="102">
        <f>SUM(I96:I97)</f>
        <v>385000</v>
      </c>
      <c r="J94" s="129"/>
      <c r="K94" s="144"/>
      <c r="L94" s="115"/>
    </row>
    <row r="95" spans="2:15" s="82" customFormat="1" ht="9" customHeight="1" thickBot="1" x14ac:dyDescent="0.3">
      <c r="B95" s="31"/>
      <c r="C95" s="17"/>
      <c r="D95" s="31"/>
      <c r="E95" s="17"/>
      <c r="F95" s="31"/>
      <c r="G95" s="17"/>
      <c r="H95" s="17"/>
      <c r="I95" s="17"/>
      <c r="J95" s="133"/>
      <c r="K95" s="146"/>
      <c r="L95" s="98"/>
    </row>
    <row r="96" spans="2:15" ht="13.8" x14ac:dyDescent="0.25">
      <c r="B96" s="28" t="s">
        <v>79</v>
      </c>
      <c r="C96" s="315">
        <f>13412.55+276987.82</f>
        <v>290400.37</v>
      </c>
      <c r="D96" s="240"/>
      <c r="E96" s="291">
        <v>291000</v>
      </c>
      <c r="F96" s="31"/>
      <c r="G96" s="296">
        <f>13576.63+270628.83</f>
        <v>284205.46000000002</v>
      </c>
      <c r="H96" s="209"/>
      <c r="I96" s="291">
        <v>293000</v>
      </c>
      <c r="M96" s="97"/>
      <c r="N96" s="97"/>
    </row>
    <row r="97" spans="1:15" ht="14.4" thickBot="1" x14ac:dyDescent="0.3">
      <c r="B97" s="29" t="s">
        <v>80</v>
      </c>
      <c r="C97" s="299">
        <f>3609.93+86929.13</f>
        <v>90539.06</v>
      </c>
      <c r="D97" s="240"/>
      <c r="E97" s="300">
        <v>90500</v>
      </c>
      <c r="F97" s="31"/>
      <c r="G97" s="314">
        <f>4260.72+84971.81</f>
        <v>89232.53</v>
      </c>
      <c r="H97" s="209"/>
      <c r="I97" s="300">
        <v>92000</v>
      </c>
      <c r="M97" s="97"/>
      <c r="N97" s="97"/>
    </row>
    <row r="98" spans="1:15" ht="13.2" customHeight="1" thickBot="1" x14ac:dyDescent="0.3">
      <c r="B98" s="14"/>
      <c r="C98" s="104"/>
      <c r="D98" s="31"/>
      <c r="E98" s="17"/>
      <c r="F98" s="31"/>
      <c r="G98" s="104"/>
      <c r="H98" s="17"/>
      <c r="I98" s="17"/>
    </row>
    <row r="99" spans="1:15" s="84" customFormat="1" ht="21" customHeight="1" thickBot="1" x14ac:dyDescent="0.3">
      <c r="B99" s="91" t="s">
        <v>6</v>
      </c>
      <c r="C99" s="102">
        <f>SUM(C101:C104)</f>
        <v>207861.89</v>
      </c>
      <c r="D99" s="247"/>
      <c r="E99" s="102">
        <f>SUM(E101:E104)</f>
        <v>219000</v>
      </c>
      <c r="F99" s="217"/>
      <c r="G99" s="102">
        <f>SUM(G101:G104)</f>
        <v>214808.25</v>
      </c>
      <c r="H99" s="207"/>
      <c r="I99" s="102">
        <f>SUM(I101:I104)</f>
        <v>215750</v>
      </c>
      <c r="J99" s="129"/>
      <c r="K99" s="145"/>
      <c r="L99" s="155"/>
    </row>
    <row r="100" spans="1:15" ht="9" customHeight="1" thickBot="1" x14ac:dyDescent="0.3">
      <c r="A100" s="82"/>
      <c r="B100" s="31"/>
      <c r="C100" s="17"/>
      <c r="D100" s="31"/>
      <c r="E100" s="17"/>
      <c r="F100" s="31"/>
      <c r="G100" s="17"/>
      <c r="H100" s="17"/>
      <c r="I100" s="17"/>
    </row>
    <row r="101" spans="1:15" ht="13.5" customHeight="1" x14ac:dyDescent="0.25">
      <c r="B101" s="40" t="s">
        <v>81</v>
      </c>
      <c r="C101" s="296">
        <v>156000</v>
      </c>
      <c r="D101" s="232"/>
      <c r="E101" s="174">
        <v>156000</v>
      </c>
      <c r="F101" s="193"/>
      <c r="G101" s="174">
        <v>156000</v>
      </c>
      <c r="H101" s="210"/>
      <c r="I101" s="174">
        <v>156000</v>
      </c>
      <c r="J101" s="136"/>
    </row>
    <row r="102" spans="1:15" ht="13.8" x14ac:dyDescent="0.25">
      <c r="B102" s="290" t="s">
        <v>82</v>
      </c>
      <c r="C102" s="294">
        <v>8130</v>
      </c>
      <c r="D102" s="240"/>
      <c r="E102" s="293">
        <v>15000</v>
      </c>
      <c r="F102" s="31"/>
      <c r="G102" s="294">
        <v>750</v>
      </c>
      <c r="H102" s="209"/>
      <c r="I102" s="293">
        <f>750</f>
        <v>750</v>
      </c>
      <c r="K102" s="351"/>
      <c r="L102" s="351"/>
    </row>
    <row r="103" spans="1:15" ht="13.8" x14ac:dyDescent="0.25">
      <c r="B103" s="29" t="s">
        <v>83</v>
      </c>
      <c r="C103" s="294">
        <v>2450</v>
      </c>
      <c r="D103" s="240"/>
      <c r="E103" s="165">
        <v>3000</v>
      </c>
      <c r="F103" s="31"/>
      <c r="G103" s="166">
        <v>14066.09</v>
      </c>
      <c r="H103" s="209"/>
      <c r="I103" s="293">
        <v>15000</v>
      </c>
      <c r="M103" s="97"/>
    </row>
    <row r="104" spans="1:15" ht="14.4" thickBot="1" x14ac:dyDescent="0.3">
      <c r="B104" s="30" t="s">
        <v>84</v>
      </c>
      <c r="C104" s="314">
        <f>11430.03+22716.06+7135.8</f>
        <v>41281.890000000007</v>
      </c>
      <c r="D104" s="240"/>
      <c r="E104" s="168">
        <v>45000</v>
      </c>
      <c r="F104" s="31"/>
      <c r="G104" s="173">
        <f>14615.59+21318.01+6668.43+1390.13</f>
        <v>43992.159999999996</v>
      </c>
      <c r="H104" s="209"/>
      <c r="I104" s="168">
        <v>44000</v>
      </c>
      <c r="M104" s="97"/>
      <c r="N104" s="97"/>
      <c r="O104" s="97"/>
    </row>
    <row r="105" spans="1:15" s="82" customFormat="1" ht="12.75" customHeight="1" x14ac:dyDescent="0.25">
      <c r="B105" s="15"/>
      <c r="C105" s="17"/>
      <c r="D105" s="31"/>
      <c r="E105" s="17"/>
      <c r="F105" s="31"/>
      <c r="G105" s="17"/>
      <c r="H105" s="17"/>
      <c r="I105" s="17"/>
      <c r="J105" s="133"/>
      <c r="K105" s="146"/>
      <c r="L105" s="98"/>
    </row>
    <row r="106" spans="1:15" s="82" customFormat="1" ht="22.8" customHeight="1" x14ac:dyDescent="0.25">
      <c r="B106" s="31"/>
      <c r="C106" s="17"/>
      <c r="D106" s="31"/>
      <c r="E106" s="17"/>
      <c r="F106" s="31"/>
      <c r="G106" s="17"/>
      <c r="H106" s="17"/>
      <c r="I106" s="17"/>
      <c r="J106" s="133"/>
      <c r="K106" s="146"/>
      <c r="L106" s="98"/>
    </row>
    <row r="107" spans="1:15" s="82" customFormat="1" ht="22.8" customHeight="1" thickBot="1" x14ac:dyDescent="0.3">
      <c r="B107" s="31"/>
      <c r="C107" s="17"/>
      <c r="D107" s="31"/>
      <c r="E107" s="17"/>
      <c r="F107" s="31"/>
      <c r="G107" s="17"/>
      <c r="H107" s="17"/>
      <c r="I107" s="17"/>
      <c r="J107" s="133"/>
      <c r="K107" s="146"/>
      <c r="L107" s="98"/>
    </row>
    <row r="108" spans="1:15" s="83" customFormat="1" ht="21" customHeight="1" thickBot="1" x14ac:dyDescent="0.3">
      <c r="B108" s="92" t="s">
        <v>17</v>
      </c>
      <c r="C108" s="102">
        <f>+C110+C119</f>
        <v>618143.92000000004</v>
      </c>
      <c r="D108" s="248"/>
      <c r="E108" s="102">
        <f>+E110+E119</f>
        <v>1024690</v>
      </c>
      <c r="F108" s="218"/>
      <c r="G108" s="102">
        <f>+G110+G119</f>
        <v>548010.56999999995</v>
      </c>
      <c r="H108" s="207"/>
      <c r="I108" s="102">
        <f>+I110+I119</f>
        <v>411815</v>
      </c>
      <c r="J108" s="129"/>
      <c r="K108" s="144"/>
      <c r="L108" s="115"/>
    </row>
    <row r="109" spans="1:15" s="84" customFormat="1" ht="16.8" customHeight="1" thickBot="1" x14ac:dyDescent="0.3">
      <c r="B109" s="38"/>
      <c r="C109" s="36"/>
      <c r="D109" s="217"/>
      <c r="E109" s="36"/>
      <c r="F109" s="217"/>
      <c r="G109" s="36"/>
      <c r="H109" s="207"/>
      <c r="I109" s="36"/>
      <c r="J109" s="131"/>
      <c r="K109" s="145"/>
      <c r="L109" s="155"/>
    </row>
    <row r="110" spans="1:15" s="83" customFormat="1" ht="17.25" customHeight="1" thickBot="1" x14ac:dyDescent="0.3">
      <c r="B110" s="89" t="s">
        <v>7</v>
      </c>
      <c r="C110" s="103">
        <f>SUM(C111:C118)</f>
        <v>421332.25000000006</v>
      </c>
      <c r="D110" s="241"/>
      <c r="E110" s="103">
        <f>SUM(E111:E118)</f>
        <v>871390</v>
      </c>
      <c r="F110" s="213"/>
      <c r="G110" s="103">
        <f>SUM(G111:G118)</f>
        <v>353648.52999999997</v>
      </c>
      <c r="H110" s="208"/>
      <c r="I110" s="103">
        <f>SUM(I111:I118)</f>
        <v>193000</v>
      </c>
      <c r="J110" s="132"/>
      <c r="K110" s="144"/>
      <c r="L110" s="115"/>
    </row>
    <row r="111" spans="1:15" ht="13.8" x14ac:dyDescent="0.25">
      <c r="B111" s="28" t="s">
        <v>85</v>
      </c>
      <c r="C111" s="296">
        <f>23413.93+3424+128.4</f>
        <v>26966.33</v>
      </c>
      <c r="D111" s="240"/>
      <c r="E111" s="291">
        <v>20000</v>
      </c>
      <c r="F111" s="31"/>
      <c r="G111" s="296">
        <f>46099.01+1540.8</f>
        <v>47639.810000000005</v>
      </c>
      <c r="H111" s="209"/>
      <c r="I111" s="291">
        <v>48000</v>
      </c>
      <c r="J111" s="306"/>
    </row>
    <row r="112" spans="1:15" ht="13.8" x14ac:dyDescent="0.25">
      <c r="B112" s="29" t="s">
        <v>86</v>
      </c>
      <c r="C112" s="294">
        <v>11811.39</v>
      </c>
      <c r="D112" s="240"/>
      <c r="E112" s="165">
        <v>14000</v>
      </c>
      <c r="F112" s="31"/>
      <c r="G112" s="166">
        <f>29344.87-1724.41-1643.69</f>
        <v>25976.77</v>
      </c>
      <c r="H112" s="209"/>
      <c r="I112" s="165">
        <v>25000</v>
      </c>
      <c r="J112" s="136"/>
    </row>
    <row r="113" spans="2:12" ht="14.25" customHeight="1" x14ac:dyDescent="0.25">
      <c r="B113" s="128" t="s">
        <v>87</v>
      </c>
      <c r="C113" s="294">
        <v>86387.06</v>
      </c>
      <c r="D113" s="249"/>
      <c r="E113" s="294">
        <v>600000</v>
      </c>
      <c r="F113" s="219"/>
      <c r="G113" s="294">
        <v>57360.04</v>
      </c>
      <c r="H113" s="210"/>
      <c r="I113" s="333"/>
      <c r="J113" s="340"/>
      <c r="K113" s="341"/>
    </row>
    <row r="114" spans="2:12" ht="14.25" customHeight="1" x14ac:dyDescent="0.25">
      <c r="B114" s="25" t="s">
        <v>88</v>
      </c>
      <c r="C114" s="294">
        <f>132341.7+12368.34+23769.58</f>
        <v>168479.62</v>
      </c>
      <c r="D114" s="250"/>
      <c r="E114" s="293">
        <v>100000</v>
      </c>
      <c r="F114" s="215"/>
      <c r="G114" s="294">
        <v>103944.74</v>
      </c>
      <c r="H114" s="209"/>
      <c r="I114" s="327">
        <f>41000</f>
        <v>41000</v>
      </c>
      <c r="J114" s="136"/>
    </row>
    <row r="115" spans="2:12" ht="13.8" x14ac:dyDescent="0.25">
      <c r="B115" s="39" t="s">
        <v>89</v>
      </c>
      <c r="C115" s="294">
        <v>6715.02</v>
      </c>
      <c r="D115" s="236"/>
      <c r="E115" s="165">
        <v>30000</v>
      </c>
      <c r="F115" s="34"/>
      <c r="G115" s="166">
        <f>11511.49</f>
        <v>11511.49</v>
      </c>
      <c r="H115" s="209"/>
      <c r="I115" s="165">
        <v>14000</v>
      </c>
      <c r="J115" s="136"/>
    </row>
    <row r="116" spans="2:12" ht="13.8" x14ac:dyDescent="0.25">
      <c r="B116" s="262" t="s">
        <v>90</v>
      </c>
      <c r="C116" s="313">
        <v>0</v>
      </c>
      <c r="D116" s="175"/>
      <c r="E116" s="166">
        <v>1500</v>
      </c>
      <c r="F116" s="220"/>
      <c r="G116" s="166">
        <v>0</v>
      </c>
      <c r="H116" s="210"/>
      <c r="I116" s="166">
        <v>1500</v>
      </c>
      <c r="J116" s="136"/>
    </row>
    <row r="117" spans="2:12" s="82" customFormat="1" ht="14.25" customHeight="1" x14ac:dyDescent="0.25">
      <c r="B117" s="261" t="s">
        <v>103</v>
      </c>
      <c r="C117" s="295">
        <f>4800+36000+21758.39</f>
        <v>62558.39</v>
      </c>
      <c r="D117" s="234"/>
      <c r="E117" s="171">
        <v>62800</v>
      </c>
      <c r="F117" s="195"/>
      <c r="G117" s="171">
        <f>4800+36000+22604.85</f>
        <v>63404.85</v>
      </c>
      <c r="H117" s="210"/>
      <c r="I117" s="171">
        <v>63500</v>
      </c>
      <c r="J117" s="137"/>
      <c r="K117" s="137"/>
      <c r="L117" s="98"/>
    </row>
    <row r="118" spans="2:12" s="82" customFormat="1" ht="14.25" customHeight="1" thickBot="1" x14ac:dyDescent="0.3">
      <c r="B118" s="161" t="s">
        <v>144</v>
      </c>
      <c r="C118" s="314">
        <f>2932.71+55481.73</f>
        <v>58414.44</v>
      </c>
      <c r="D118" s="234"/>
      <c r="E118" s="173">
        <v>43090</v>
      </c>
      <c r="F118" s="195"/>
      <c r="G118" s="173">
        <f>721.21+43089.62</f>
        <v>43810.83</v>
      </c>
      <c r="H118" s="210"/>
      <c r="I118" s="173">
        <v>0</v>
      </c>
      <c r="J118" s="127"/>
      <c r="K118" s="146"/>
      <c r="L118" s="98"/>
    </row>
    <row r="119" spans="2:12" s="83" customFormat="1" ht="17.25" customHeight="1" thickBot="1" x14ac:dyDescent="0.3">
      <c r="B119" s="89" t="s">
        <v>8</v>
      </c>
      <c r="C119" s="103">
        <f>SUM(C120:C134)</f>
        <v>196811.67</v>
      </c>
      <c r="D119" s="241"/>
      <c r="E119" s="103">
        <f>SUM(E120:E134)</f>
        <v>153300</v>
      </c>
      <c r="F119" s="213"/>
      <c r="G119" s="103">
        <f>SUM(G120:G134)</f>
        <v>194362.04</v>
      </c>
      <c r="H119" s="208"/>
      <c r="I119" s="103">
        <f>SUM(I120:I134)</f>
        <v>218815</v>
      </c>
      <c r="J119" s="132"/>
      <c r="K119" s="144"/>
      <c r="L119" s="115"/>
    </row>
    <row r="120" spans="2:12" ht="13.8" x14ac:dyDescent="0.25">
      <c r="B120" s="29" t="s">
        <v>91</v>
      </c>
      <c r="C120" s="296">
        <f>6303.49+840.02+164.06</f>
        <v>7307.5700000000006</v>
      </c>
      <c r="D120" s="240"/>
      <c r="E120" s="291">
        <v>10000</v>
      </c>
      <c r="F120" s="31"/>
      <c r="G120" s="296">
        <f>6644.7+610+1756.51</f>
        <v>9011.2099999999991</v>
      </c>
      <c r="H120" s="209"/>
      <c r="I120" s="291">
        <v>10000</v>
      </c>
    </row>
    <row r="121" spans="2:12" ht="13.8" x14ac:dyDescent="0.25">
      <c r="B121" s="29" t="s">
        <v>92</v>
      </c>
      <c r="C121" s="294">
        <f>247.81+56.86+3.38-1.2+72+3.38+25.63+3.38+270.52+1279.4</f>
        <v>1961.16</v>
      </c>
      <c r="D121" s="240"/>
      <c r="E121" s="165">
        <v>2500</v>
      </c>
      <c r="F121" s="31"/>
      <c r="G121" s="166">
        <f>80.16+7.38+7+16.17+20+361.97+1279.4+137.76</f>
        <v>1909.8400000000001</v>
      </c>
      <c r="H121" s="209"/>
      <c r="I121" s="165">
        <v>2000</v>
      </c>
    </row>
    <row r="122" spans="2:12" ht="13.8" x14ac:dyDescent="0.25">
      <c r="B122" s="29" t="s">
        <v>113</v>
      </c>
      <c r="C122" s="294">
        <f>365.14+2306.82+2229.22+211.12+1316.66+149.48+672.96+322.14+2722.15+982.65+1914.4+320.4+1913.38+295.43+303.97+350.96+428.81+133.81+128.2+240+647.38+94.5+71.8+86.36+272.43+480+94.68+278.92+692.85+240+1312.83+92.53+1176.06+181.85+150+171.35+362.97+192.78+15.38+34.78+16.5</f>
        <v>23973.649999999994</v>
      </c>
      <c r="D122" s="240"/>
      <c r="E122" s="165">
        <v>24500</v>
      </c>
      <c r="F122" s="31"/>
      <c r="G122" s="166">
        <f>365.31+2815.72+2321.48+1907.59+851.91+168.01+57.44+672.96+233.51+3772.89+1179.99+12.63+171.43+2201.79+388.64+369.15+680.93+642.08+203.09+165.98+240+195.66+77.04+114.88+72+93.31+494.4+44.02+338.27+1032.58+220+840+203.24+306.32+1360+224.69+483.96+961.46+43.9+809.33+15+156.93</f>
        <v>27509.520000000011</v>
      </c>
      <c r="H122" s="209"/>
      <c r="I122" s="165">
        <v>28000</v>
      </c>
    </row>
    <row r="123" spans="2:12" ht="13.8" x14ac:dyDescent="0.25">
      <c r="B123" s="29" t="s">
        <v>93</v>
      </c>
      <c r="C123" s="294">
        <v>13914.95</v>
      </c>
      <c r="D123" s="240"/>
      <c r="E123" s="165">
        <v>7500</v>
      </c>
      <c r="F123" s="31"/>
      <c r="G123" s="166">
        <v>7896.63</v>
      </c>
      <c r="H123" s="209"/>
      <c r="I123" s="165">
        <v>7800</v>
      </c>
    </row>
    <row r="124" spans="2:12" ht="13.8" x14ac:dyDescent="0.25">
      <c r="B124" s="29" t="s">
        <v>94</v>
      </c>
      <c r="C124" s="294">
        <v>3456.1</v>
      </c>
      <c r="D124" s="240"/>
      <c r="E124" s="165">
        <v>1200</v>
      </c>
      <c r="F124" s="31"/>
      <c r="G124" s="166">
        <v>3082.61</v>
      </c>
      <c r="H124" s="209"/>
      <c r="I124" s="165">
        <v>3200</v>
      </c>
    </row>
    <row r="125" spans="2:12" ht="13.8" x14ac:dyDescent="0.25">
      <c r="B125" s="29" t="s">
        <v>95</v>
      </c>
      <c r="C125" s="294">
        <v>14033.35</v>
      </c>
      <c r="D125" s="240"/>
      <c r="E125" s="165">
        <v>13000</v>
      </c>
      <c r="F125" s="31"/>
      <c r="G125" s="166">
        <v>9336.01</v>
      </c>
      <c r="H125" s="209"/>
      <c r="I125" s="165">
        <v>13000</v>
      </c>
    </row>
    <row r="126" spans="2:12" ht="13.8" x14ac:dyDescent="0.25">
      <c r="B126" s="29" t="s">
        <v>96</v>
      </c>
      <c r="C126" s="294">
        <f>9724.24+367.58+1570.3+823.62+172.81</f>
        <v>12658.55</v>
      </c>
      <c r="D126" s="240"/>
      <c r="E126" s="165">
        <v>14000</v>
      </c>
      <c r="F126" s="31"/>
      <c r="G126" s="166">
        <f>11127.33+367.18+2794.74+785.99+172.8</f>
        <v>15248.039999999999</v>
      </c>
      <c r="H126" s="209"/>
      <c r="I126" s="165">
        <v>15000</v>
      </c>
    </row>
    <row r="127" spans="2:12" ht="13.8" x14ac:dyDescent="0.25">
      <c r="B127" s="25" t="s">
        <v>97</v>
      </c>
      <c r="C127" s="294">
        <v>121</v>
      </c>
      <c r="D127" s="250"/>
      <c r="E127" s="165">
        <v>400</v>
      </c>
      <c r="F127" s="215"/>
      <c r="G127" s="166">
        <v>346.15</v>
      </c>
      <c r="H127" s="209"/>
      <c r="I127" s="165">
        <v>400</v>
      </c>
    </row>
    <row r="128" spans="2:12" ht="13.8" x14ac:dyDescent="0.25">
      <c r="B128" s="25" t="s">
        <v>98</v>
      </c>
      <c r="C128" s="294">
        <f>7922.68+1966.06</f>
        <v>9888.74</v>
      </c>
      <c r="D128" s="250"/>
      <c r="E128" s="165">
        <v>6500</v>
      </c>
      <c r="F128" s="215"/>
      <c r="G128" s="166">
        <f>7911.49-481.5-140</f>
        <v>7289.99</v>
      </c>
      <c r="H128" s="209"/>
      <c r="I128" s="165">
        <v>7000</v>
      </c>
    </row>
    <row r="129" spans="2:12" ht="13.8" x14ac:dyDescent="0.25">
      <c r="B129" s="25" t="s">
        <v>99</v>
      </c>
      <c r="C129" s="294">
        <v>3663.6</v>
      </c>
      <c r="D129" s="250"/>
      <c r="E129" s="165">
        <v>2500</v>
      </c>
      <c r="F129" s="215"/>
      <c r="G129" s="166">
        <v>4012.16</v>
      </c>
      <c r="H129" s="209"/>
      <c r="I129" s="165">
        <v>4000</v>
      </c>
    </row>
    <row r="130" spans="2:12" ht="13.8" x14ac:dyDescent="0.25">
      <c r="B130" s="29" t="s">
        <v>104</v>
      </c>
      <c r="C130" s="294">
        <f>294.92+1218.21</f>
        <v>1513.13</v>
      </c>
      <c r="D130" s="240"/>
      <c r="E130" s="165">
        <v>2500</v>
      </c>
      <c r="F130" s="31"/>
      <c r="G130" s="166">
        <f>989.43+3076.12+481.5</f>
        <v>4547.0499999999993</v>
      </c>
      <c r="H130" s="209"/>
      <c r="I130" s="165">
        <v>3000</v>
      </c>
    </row>
    <row r="131" spans="2:12" ht="13.8" x14ac:dyDescent="0.25">
      <c r="B131" s="29" t="s">
        <v>100</v>
      </c>
      <c r="C131" s="294">
        <v>1817.8</v>
      </c>
      <c r="D131" s="240"/>
      <c r="E131" s="165">
        <v>6000</v>
      </c>
      <c r="F131" s="31"/>
      <c r="G131" s="166">
        <v>4544.6899999999996</v>
      </c>
      <c r="H131" s="209"/>
      <c r="I131" s="165">
        <v>6000</v>
      </c>
    </row>
    <row r="132" spans="2:12" ht="13.8" x14ac:dyDescent="0.25">
      <c r="B132" s="29" t="s">
        <v>207</v>
      </c>
      <c r="C132" s="295">
        <v>3564.48</v>
      </c>
      <c r="D132" s="240"/>
      <c r="E132" s="170">
        <v>3500</v>
      </c>
      <c r="F132" s="31"/>
      <c r="G132" s="171">
        <v>3331.6</v>
      </c>
      <c r="H132" s="209"/>
      <c r="I132" s="170">
        <v>3605</v>
      </c>
    </row>
    <row r="133" spans="2:12" ht="13.8" x14ac:dyDescent="0.25">
      <c r="B133" s="29" t="s">
        <v>161</v>
      </c>
      <c r="C133" s="295">
        <f>11700+10556+1350+1200+1200+4050+1800+2800</f>
        <v>34656</v>
      </c>
      <c r="D133" s="240"/>
      <c r="E133" s="298">
        <v>29200</v>
      </c>
      <c r="F133" s="31"/>
      <c r="G133" s="295">
        <f>12500+1950+1200+1200+450+4950+2800+4200+4800+4200</f>
        <v>38250</v>
      </c>
      <c r="H133" s="209"/>
      <c r="I133" s="298">
        <v>55810</v>
      </c>
      <c r="J133" s="254"/>
      <c r="K133" s="141"/>
    </row>
    <row r="134" spans="2:12" ht="14.4" thickBot="1" x14ac:dyDescent="0.3">
      <c r="B134" s="30" t="s">
        <v>164</v>
      </c>
      <c r="C134" s="314">
        <f>3600+2794.26+4218.39+564.96+850.22+1111.9+902.04+3500+20114.12+0.7+5800+2720.45+18104.55</f>
        <v>64281.59</v>
      </c>
      <c r="D134" s="240"/>
      <c r="E134" s="168">
        <v>30000</v>
      </c>
      <c r="F134" s="31"/>
      <c r="G134" s="173">
        <f>3600+737.32+3493.8+1364.25+4589.46+2439.95+1258.32+10419.22+2885.91+18068.96+2725.75+6463.6</f>
        <v>58046.54</v>
      </c>
      <c r="H134" s="209"/>
      <c r="I134" s="168">
        <v>60000</v>
      </c>
      <c r="J134" s="269"/>
    </row>
    <row r="135" spans="2:12" s="82" customFormat="1" ht="29.4" customHeight="1" thickBot="1" x14ac:dyDescent="0.3">
      <c r="B135" s="24"/>
      <c r="C135" s="104"/>
      <c r="D135" s="31"/>
      <c r="E135" s="104"/>
      <c r="F135" s="31"/>
      <c r="G135" s="104"/>
      <c r="H135" s="17"/>
      <c r="I135" s="104"/>
      <c r="J135" s="133"/>
      <c r="K135" s="146"/>
      <c r="L135" s="98"/>
    </row>
    <row r="136" spans="2:12" s="85" customFormat="1" ht="23.25" customHeight="1" thickBot="1" x14ac:dyDescent="0.3">
      <c r="B136" s="274" t="s">
        <v>66</v>
      </c>
      <c r="C136" s="105">
        <f>C8+C84+C94+C99+C108</f>
        <v>4762458.7</v>
      </c>
      <c r="D136" s="251"/>
      <c r="E136" s="105">
        <f>E8+E84+E94+E99+E108</f>
        <v>4969670</v>
      </c>
      <c r="F136" s="221"/>
      <c r="G136" s="105">
        <f>G8+G84+G94+G99+G108</f>
        <v>4106590.72</v>
      </c>
      <c r="H136" s="207"/>
      <c r="I136" s="105">
        <f>I8+I84+I94+I99+I108</f>
        <v>4020529</v>
      </c>
      <c r="J136" s="134"/>
      <c r="K136" s="147"/>
      <c r="L136" s="156"/>
    </row>
    <row r="137" spans="2:12" ht="61.8" customHeight="1" x14ac:dyDescent="0.25">
      <c r="B137" s="82"/>
      <c r="C137" s="18"/>
      <c r="E137" s="18"/>
      <c r="G137" s="18"/>
      <c r="H137" s="18"/>
      <c r="I137" s="18"/>
    </row>
    <row r="138" spans="2:12" ht="26.4" customHeight="1" thickBot="1" x14ac:dyDescent="0.3">
      <c r="B138" s="82"/>
      <c r="C138" s="18"/>
      <c r="E138" s="18"/>
      <c r="G138" s="18"/>
      <c r="H138" s="18"/>
      <c r="I138" s="18"/>
    </row>
    <row r="139" spans="2:12" s="83" customFormat="1" ht="21" customHeight="1" thickBot="1" x14ac:dyDescent="0.3">
      <c r="B139" s="93" t="s">
        <v>9</v>
      </c>
      <c r="C139" s="102">
        <f>SUM(C141:C153)</f>
        <v>607698.15999999992</v>
      </c>
      <c r="D139" s="252"/>
      <c r="E139" s="102">
        <f>SUM(E141:E153)</f>
        <v>570330</v>
      </c>
      <c r="F139" s="213"/>
      <c r="G139" s="102">
        <f>SUM(G141:G153)</f>
        <v>1309356.6300000001</v>
      </c>
      <c r="H139" s="207"/>
      <c r="I139" s="102">
        <f>SUM(I141:I153)</f>
        <v>280985</v>
      </c>
      <c r="J139" s="129"/>
      <c r="K139" s="144"/>
      <c r="L139" s="115"/>
    </row>
    <row r="140" spans="2:12" ht="9" customHeight="1" thickBot="1" x14ac:dyDescent="0.3">
      <c r="B140" s="31"/>
      <c r="C140" s="17"/>
      <c r="D140" s="31"/>
      <c r="E140" s="17"/>
      <c r="F140" s="31"/>
      <c r="G140" s="17"/>
      <c r="H140" s="17"/>
      <c r="I140" s="17"/>
    </row>
    <row r="141" spans="2:12" ht="15" customHeight="1" x14ac:dyDescent="0.25">
      <c r="B141" s="40" t="s">
        <v>101</v>
      </c>
      <c r="C141" s="315">
        <f>285404.93</f>
        <v>285404.93</v>
      </c>
      <c r="D141" s="240"/>
      <c r="E141" s="291">
        <v>200000</v>
      </c>
      <c r="F141" s="31"/>
      <c r="G141" s="296">
        <v>188825.88</v>
      </c>
      <c r="H141" s="209"/>
      <c r="I141" s="334"/>
    </row>
    <row r="142" spans="2:12" ht="15" customHeight="1" x14ac:dyDescent="0.25">
      <c r="B142" s="128" t="s">
        <v>163</v>
      </c>
      <c r="C142" s="316">
        <f>18099.57+5713.17-812.74</f>
        <v>22999.999999999996</v>
      </c>
      <c r="D142" s="250"/>
      <c r="E142" s="297">
        <v>23000</v>
      </c>
      <c r="F142" s="215"/>
      <c r="G142" s="295">
        <f>1611.21+18099.48+5713.08-2423.77</f>
        <v>22999.999999999996</v>
      </c>
      <c r="H142" s="209"/>
      <c r="I142" s="297">
        <v>23000</v>
      </c>
    </row>
    <row r="143" spans="2:12" ht="15" customHeight="1" x14ac:dyDescent="0.25">
      <c r="B143" s="128" t="s">
        <v>225</v>
      </c>
      <c r="C143" s="316">
        <v>0</v>
      </c>
      <c r="D143" s="250"/>
      <c r="E143" s="297">
        <v>0</v>
      </c>
      <c r="F143" s="215"/>
      <c r="G143" s="295">
        <v>11727</v>
      </c>
      <c r="H143" s="209"/>
      <c r="I143" s="297">
        <v>0</v>
      </c>
    </row>
    <row r="144" spans="2:12" ht="15" customHeight="1" x14ac:dyDescent="0.25">
      <c r="B144" s="128" t="s">
        <v>226</v>
      </c>
      <c r="C144" s="316">
        <v>256078.82</v>
      </c>
      <c r="D144" s="250"/>
      <c r="E144" s="162">
        <v>255105</v>
      </c>
      <c r="F144" s="215"/>
      <c r="G144" s="295">
        <v>266186.14</v>
      </c>
      <c r="H144" s="209"/>
      <c r="I144" s="162">
        <v>257985</v>
      </c>
      <c r="J144" s="222"/>
      <c r="K144" s="141"/>
    </row>
    <row r="145" spans="2:12" ht="15" customHeight="1" x14ac:dyDescent="0.25">
      <c r="B145" s="128" t="s">
        <v>227</v>
      </c>
      <c r="C145" s="316">
        <v>0</v>
      </c>
      <c r="D145" s="250"/>
      <c r="E145" s="297">
        <v>0</v>
      </c>
      <c r="F145" s="215"/>
      <c r="G145" s="295">
        <v>3424</v>
      </c>
      <c r="H145" s="209"/>
      <c r="I145" s="297">
        <v>0</v>
      </c>
      <c r="J145" s="222"/>
    </row>
    <row r="146" spans="2:12" ht="15" customHeight="1" x14ac:dyDescent="0.25">
      <c r="B146" s="128" t="s">
        <v>228</v>
      </c>
      <c r="C146" s="317">
        <v>0</v>
      </c>
      <c r="D146" s="250"/>
      <c r="E146" s="297">
        <v>30000</v>
      </c>
      <c r="F146" s="215"/>
      <c r="G146" s="319">
        <v>0</v>
      </c>
      <c r="H146" s="209"/>
      <c r="I146" s="335">
        <v>0</v>
      </c>
    </row>
    <row r="147" spans="2:12" ht="15" customHeight="1" x14ac:dyDescent="0.25">
      <c r="B147" s="128" t="s">
        <v>229</v>
      </c>
      <c r="C147" s="316">
        <v>0</v>
      </c>
      <c r="D147" s="250"/>
      <c r="E147" s="297">
        <v>12000</v>
      </c>
      <c r="F147" s="215"/>
      <c r="G147" s="204">
        <v>0</v>
      </c>
      <c r="H147" s="209"/>
      <c r="I147" s="335"/>
    </row>
    <row r="148" spans="2:12" ht="13.8" x14ac:dyDescent="0.25">
      <c r="B148" s="128" t="s">
        <v>230</v>
      </c>
      <c r="C148" s="316">
        <v>0</v>
      </c>
      <c r="D148" s="250"/>
      <c r="E148" s="298">
        <v>30900</v>
      </c>
      <c r="F148" s="215"/>
      <c r="G148" s="204">
        <v>0</v>
      </c>
      <c r="H148" s="209"/>
      <c r="I148" s="298">
        <v>0</v>
      </c>
    </row>
    <row r="149" spans="2:12" ht="13.8" x14ac:dyDescent="0.25">
      <c r="B149" s="262" t="s">
        <v>231</v>
      </c>
      <c r="C149" s="204">
        <v>0</v>
      </c>
      <c r="D149" s="250"/>
      <c r="E149" s="298">
        <v>4325</v>
      </c>
      <c r="F149" s="215"/>
      <c r="G149" s="204">
        <v>2743.57</v>
      </c>
      <c r="H149" s="209"/>
      <c r="I149" s="298"/>
    </row>
    <row r="150" spans="2:12" ht="13.8" x14ac:dyDescent="0.25">
      <c r="B150" s="128" t="s">
        <v>234</v>
      </c>
      <c r="C150" s="204">
        <v>0</v>
      </c>
      <c r="D150" s="250"/>
      <c r="E150" s="298">
        <v>10000</v>
      </c>
      <c r="F150" s="215"/>
      <c r="G150" s="204">
        <v>0</v>
      </c>
      <c r="H150" s="209"/>
      <c r="I150" s="336"/>
    </row>
    <row r="151" spans="2:12" ht="13.8" x14ac:dyDescent="0.25">
      <c r="B151" s="128" t="s">
        <v>232</v>
      </c>
      <c r="C151" s="316">
        <v>6341.33</v>
      </c>
      <c r="D151" s="250"/>
      <c r="E151" s="298">
        <v>0</v>
      </c>
      <c r="F151" s="215"/>
      <c r="G151" s="316">
        <v>0</v>
      </c>
      <c r="H151" s="209"/>
      <c r="I151" s="298">
        <v>0</v>
      </c>
    </row>
    <row r="152" spans="2:12" ht="13.8" x14ac:dyDescent="0.25">
      <c r="B152" s="128" t="s">
        <v>233</v>
      </c>
      <c r="C152" s="316">
        <v>36873.08</v>
      </c>
      <c r="D152" s="250"/>
      <c r="E152" s="165">
        <v>5000</v>
      </c>
      <c r="F152" s="215"/>
      <c r="G152" s="295">
        <f>20865+161081.3+631503.74</f>
        <v>813450.04</v>
      </c>
      <c r="H152" s="209"/>
      <c r="I152" s="165"/>
    </row>
    <row r="153" spans="2:12" ht="14.4" thickBot="1" x14ac:dyDescent="0.3">
      <c r="B153" s="180" t="s">
        <v>235</v>
      </c>
      <c r="C153" s="168"/>
      <c r="D153" s="253"/>
      <c r="E153" s="203"/>
      <c r="F153" s="34"/>
      <c r="G153" s="320"/>
      <c r="H153" s="209"/>
      <c r="I153" s="203"/>
      <c r="J153" s="177"/>
    </row>
    <row r="154" spans="2:12" s="82" customFormat="1" ht="9" customHeight="1" thickBot="1" x14ac:dyDescent="0.3">
      <c r="B154" s="34" t="s">
        <v>10</v>
      </c>
      <c r="C154" s="17"/>
      <c r="D154" s="34"/>
      <c r="E154" s="17"/>
      <c r="F154" s="34"/>
      <c r="G154" s="17"/>
      <c r="H154" s="17"/>
      <c r="I154" s="17"/>
      <c r="J154" s="133"/>
      <c r="K154" s="146"/>
      <c r="L154" s="98"/>
    </row>
    <row r="155" spans="2:12" s="86" customFormat="1" ht="27" customHeight="1" thickBot="1" x14ac:dyDescent="0.3">
      <c r="B155" s="275" t="s">
        <v>67</v>
      </c>
      <c r="C155" s="318">
        <f>+C136+C139</f>
        <v>5370156.8600000003</v>
      </c>
      <c r="D155" s="264"/>
      <c r="E155" s="267">
        <f>+E136+E139</f>
        <v>5540000</v>
      </c>
      <c r="F155" s="265"/>
      <c r="G155" s="318">
        <f>+G136+G139</f>
        <v>5415947.3500000006</v>
      </c>
      <c r="H155" s="266"/>
      <c r="I155" s="267">
        <f>+I136+I139</f>
        <v>4301514</v>
      </c>
      <c r="J155" s="135"/>
      <c r="K155" s="148"/>
      <c r="L155" s="157"/>
    </row>
  </sheetData>
  <mergeCells count="11">
    <mergeCell ref="B1:I1"/>
    <mergeCell ref="B2:I2"/>
    <mergeCell ref="B3:I3"/>
    <mergeCell ref="E6:E7"/>
    <mergeCell ref="J113:K113"/>
    <mergeCell ref="G6:G7"/>
    <mergeCell ref="I6:I7"/>
    <mergeCell ref="B4:I4"/>
    <mergeCell ref="C6:C7"/>
    <mergeCell ref="K102:L102"/>
    <mergeCell ref="K34:N34"/>
  </mergeCells>
  <phoneticPr fontId="0" type="noConversion"/>
  <pageMargins left="0.55118110236220474" right="0.19685039370078741" top="0.31496062992125984" bottom="0.31496062992125984" header="0.27559055118110237" footer="0"/>
  <pageSetup paperSize="9" scale="97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zoomScale="75" workbookViewId="0">
      <selection activeCell="D10" sqref="D10"/>
    </sheetView>
  </sheetViews>
  <sheetFormatPr baseColWidth="10" defaultRowHeight="13.2" x14ac:dyDescent="0.25"/>
  <cols>
    <col min="1" max="1" width="84.44140625" customWidth="1"/>
    <col min="2" max="2" width="0.77734375" customWidth="1"/>
    <col min="3" max="3" width="17.5546875" bestFit="1" customWidth="1"/>
    <col min="4" max="4" width="19.21875" bestFit="1" customWidth="1"/>
    <col min="5" max="5" width="0.77734375" customWidth="1"/>
    <col min="6" max="6" width="18.21875" customWidth="1"/>
    <col min="7" max="7" width="13.77734375" style="45" bestFit="1" customWidth="1"/>
  </cols>
  <sheetData>
    <row r="1" spans="1:18" ht="6.75" customHeight="1" x14ac:dyDescent="0.25"/>
    <row r="2" spans="1:18" s="110" customFormat="1" ht="33" x14ac:dyDescent="0.6">
      <c r="A2" s="349" t="s">
        <v>27</v>
      </c>
      <c r="B2" s="349"/>
      <c r="C2" s="349"/>
      <c r="D2" s="349"/>
      <c r="E2" s="349"/>
      <c r="F2" s="349"/>
      <c r="G2" s="349"/>
    </row>
    <row r="3" spans="1:18" s="110" customFormat="1" ht="22.8" x14ac:dyDescent="0.4">
      <c r="A3" s="346" t="s">
        <v>28</v>
      </c>
      <c r="B3" s="346"/>
      <c r="C3" s="346"/>
      <c r="D3" s="346"/>
      <c r="E3" s="346"/>
      <c r="F3" s="346"/>
      <c r="G3" s="346"/>
    </row>
    <row r="4" spans="1:18" s="110" customFormat="1" ht="22.8" x14ac:dyDescent="0.4">
      <c r="A4" s="346" t="s">
        <v>216</v>
      </c>
      <c r="B4" s="346"/>
      <c r="C4" s="346"/>
      <c r="D4" s="346"/>
      <c r="E4" s="346"/>
      <c r="F4" s="346"/>
      <c r="G4" s="346"/>
    </row>
    <row r="5" spans="1:18" ht="17.399999999999999" x14ac:dyDescent="0.3">
      <c r="A5" s="348" t="s">
        <v>50</v>
      </c>
      <c r="B5" s="348"/>
      <c r="C5" s="348"/>
      <c r="D5" s="348"/>
      <c r="E5" s="348"/>
      <c r="F5" s="348"/>
      <c r="G5" s="348"/>
    </row>
    <row r="6" spans="1:18" ht="23.25" customHeight="1" x14ac:dyDescent="0.4">
      <c r="A6" s="70"/>
      <c r="B6" s="70"/>
      <c r="C6" s="70"/>
      <c r="D6" s="70"/>
      <c r="E6" s="70"/>
      <c r="F6" s="70"/>
      <c r="G6" s="70"/>
    </row>
    <row r="7" spans="1:18" ht="13.8" thickBot="1" x14ac:dyDescent="0.3"/>
    <row r="8" spans="1:18" ht="22.8" x14ac:dyDescent="0.4">
      <c r="A8" s="56" t="s">
        <v>35</v>
      </c>
      <c r="B8" s="64"/>
      <c r="C8" s="52" t="s">
        <v>102</v>
      </c>
      <c r="D8" s="52" t="s">
        <v>25</v>
      </c>
      <c r="E8" s="59"/>
      <c r="F8" s="68" t="s">
        <v>19</v>
      </c>
      <c r="G8" s="53" t="s">
        <v>20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8" ht="23.4" thickBot="1" x14ac:dyDescent="0.45">
      <c r="A9" s="56" t="s">
        <v>36</v>
      </c>
      <c r="B9" s="65"/>
      <c r="C9" s="54">
        <v>2021</v>
      </c>
      <c r="D9" s="54">
        <v>2022</v>
      </c>
      <c r="E9" s="60"/>
      <c r="F9" s="69" t="s">
        <v>21</v>
      </c>
      <c r="G9" s="55" t="s">
        <v>22</v>
      </c>
      <c r="L9" s="1"/>
    </row>
    <row r="10" spans="1:18" ht="17.399999999999999" x14ac:dyDescent="0.3">
      <c r="A10" s="46" t="s">
        <v>37</v>
      </c>
      <c r="B10" s="66"/>
      <c r="C10" s="57">
        <f>+'Gastos '!G8</f>
        <v>1135323.4799999997</v>
      </c>
      <c r="D10" s="57">
        <f>+'Gastos '!I8</f>
        <v>1182864</v>
      </c>
      <c r="E10" s="61"/>
      <c r="F10" s="277">
        <f t="shared" ref="F10:F15" si="0">+D10-C10</f>
        <v>47540.520000000251</v>
      </c>
      <c r="G10" s="278">
        <f t="shared" ref="G10:G16" si="1">+F10/C10</f>
        <v>4.1873986434245385E-2</v>
      </c>
    </row>
    <row r="11" spans="1:18" ht="17.399999999999999" x14ac:dyDescent="0.3">
      <c r="A11" s="47" t="s">
        <v>38</v>
      </c>
      <c r="B11" s="66"/>
      <c r="C11" s="48">
        <f>+'Gastos '!G84</f>
        <v>1835010.4300000002</v>
      </c>
      <c r="D11" s="48">
        <f>+'Gastos '!I84</f>
        <v>1825100</v>
      </c>
      <c r="E11" s="62"/>
      <c r="F11" s="106">
        <f t="shared" si="0"/>
        <v>-9910.4300000001676</v>
      </c>
      <c r="G11" s="107">
        <f t="shared" si="1"/>
        <v>-5.4007485941102613E-3</v>
      </c>
    </row>
    <row r="12" spans="1:18" ht="17.399999999999999" x14ac:dyDescent="0.3">
      <c r="A12" s="47" t="s">
        <v>39</v>
      </c>
      <c r="B12" s="66"/>
      <c r="C12" s="48">
        <f>+'Gastos '!G94</f>
        <v>373437.99</v>
      </c>
      <c r="D12" s="48">
        <f>+'Gastos '!I94</f>
        <v>385000</v>
      </c>
      <c r="E12" s="62"/>
      <c r="F12" s="106">
        <f t="shared" si="0"/>
        <v>11562.010000000009</v>
      </c>
      <c r="G12" s="107">
        <f t="shared" si="1"/>
        <v>3.0960990337378393E-2</v>
      </c>
    </row>
    <row r="13" spans="1:18" ht="17.399999999999999" x14ac:dyDescent="0.3">
      <c r="A13" s="47" t="s">
        <v>6</v>
      </c>
      <c r="B13" s="66"/>
      <c r="C13" s="48">
        <f>+'Gastos '!G99</f>
        <v>214808.25</v>
      </c>
      <c r="D13" s="48">
        <f>+'Gastos '!I99</f>
        <v>215750</v>
      </c>
      <c r="E13" s="62"/>
      <c r="F13" s="106">
        <f t="shared" si="0"/>
        <v>941.75</v>
      </c>
      <c r="G13" s="107">
        <f t="shared" si="1"/>
        <v>4.3841426015993334E-3</v>
      </c>
    </row>
    <row r="14" spans="1:18" ht="17.399999999999999" x14ac:dyDescent="0.3">
      <c r="A14" s="47" t="s">
        <v>49</v>
      </c>
      <c r="B14" s="66"/>
      <c r="C14" s="48">
        <f>+'Gastos '!G108</f>
        <v>548010.56999999995</v>
      </c>
      <c r="D14" s="48">
        <f>+'Gastos '!I108</f>
        <v>411815</v>
      </c>
      <c r="E14" s="62"/>
      <c r="F14" s="307">
        <f t="shared" si="0"/>
        <v>-136195.56999999995</v>
      </c>
      <c r="G14" s="308">
        <f t="shared" si="1"/>
        <v>-0.24852726837002426</v>
      </c>
    </row>
    <row r="15" spans="1:18" ht="18" thickBot="1" x14ac:dyDescent="0.35">
      <c r="A15" s="63" t="s">
        <v>9</v>
      </c>
      <c r="B15" s="66"/>
      <c r="C15" s="49">
        <f>+'Gastos '!G139</f>
        <v>1309356.6300000001</v>
      </c>
      <c r="D15" s="49">
        <f>+'Gastos '!I139</f>
        <v>280985</v>
      </c>
      <c r="E15" s="62"/>
      <c r="F15" s="309">
        <f t="shared" si="0"/>
        <v>-1028371.6300000001</v>
      </c>
      <c r="G15" s="310">
        <f t="shared" si="1"/>
        <v>-0.78540223987715252</v>
      </c>
    </row>
    <row r="16" spans="1:18" ht="18" thickBot="1" x14ac:dyDescent="0.35">
      <c r="A16" s="75" t="s">
        <v>24</v>
      </c>
      <c r="B16" s="67"/>
      <c r="C16" s="51">
        <f>SUM(C10:C15)</f>
        <v>5415947.3500000006</v>
      </c>
      <c r="D16" s="50">
        <f>SUM(D10:D15)</f>
        <v>4301514</v>
      </c>
      <c r="E16" s="58"/>
      <c r="F16" s="279">
        <f>SUM(F10:F15)</f>
        <v>-1114433.3500000001</v>
      </c>
      <c r="G16" s="280">
        <f t="shared" si="1"/>
        <v>-0.20576886701086561</v>
      </c>
    </row>
    <row r="17" spans="1:7" ht="6.75" customHeight="1" x14ac:dyDescent="0.25"/>
    <row r="18" spans="1:7" ht="6.75" customHeight="1" x14ac:dyDescent="0.25"/>
    <row r="19" spans="1:7" ht="22.8" x14ac:dyDescent="0.4">
      <c r="A19" s="354"/>
      <c r="B19" s="354"/>
      <c r="C19" s="354"/>
      <c r="D19" s="354"/>
      <c r="E19" s="354"/>
      <c r="F19" s="354"/>
      <c r="G19" s="354"/>
    </row>
    <row r="20" spans="1:7" x14ac:dyDescent="0.25">
      <c r="F20" s="110"/>
      <c r="G20" s="111"/>
    </row>
  </sheetData>
  <mergeCells count="5">
    <mergeCell ref="A19:G19"/>
    <mergeCell ref="A2:G2"/>
    <mergeCell ref="A3:G3"/>
    <mergeCell ref="A4:G4"/>
    <mergeCell ref="A5:G5"/>
  </mergeCells>
  <phoneticPr fontId="0" type="noConversion"/>
  <pageMargins left="0.26" right="0.19685039370078741" top="0.57999999999999996" bottom="0.39370078740157483" header="1.01" footer="0.19685039370078741"/>
  <pageSetup paperSize="9" scale="94" orientation="landscape" horizontalDpi="300" verticalDpi="300" r:id="rId1"/>
  <headerFooter alignWithMargins="0">
    <oddHeader xml:space="preserve">&amp;C&amp;"Rockwell,Negrita"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O73" sqref="O73"/>
    </sheetView>
  </sheetViews>
  <sheetFormatPr baseColWidth="10" defaultRowHeight="13.2" x14ac:dyDescent="0.25"/>
  <sheetData>
    <row r="1" spans="1:12" ht="27" customHeight="1" x14ac:dyDescent="0.25"/>
    <row r="2" spans="1:12" s="110" customFormat="1" ht="36.75" customHeight="1" x14ac:dyDescent="0.6">
      <c r="A2" s="349" t="s">
        <v>15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 ht="21" customHeight="1" x14ac:dyDescent="0.4">
      <c r="A3" s="346" t="s">
        <v>28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</row>
    <row r="4" spans="1:12" ht="21" x14ac:dyDescent="0.4">
      <c r="A4" s="355" t="s">
        <v>46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</row>
    <row r="5" spans="1:12" ht="21" x14ac:dyDescent="0.4">
      <c r="A5" s="350" t="s">
        <v>47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</row>
    <row r="6" spans="1:12" ht="21" x14ac:dyDescent="0.4">
      <c r="A6" s="73"/>
      <c r="B6" s="73"/>
      <c r="C6" s="73"/>
      <c r="D6" s="73"/>
      <c r="E6" s="73"/>
      <c r="F6" s="73"/>
      <c r="G6" s="73"/>
      <c r="H6" s="73"/>
      <c r="I6" s="73"/>
    </row>
    <row r="43" spans="1:12" ht="36.75" customHeight="1" x14ac:dyDescent="0.6">
      <c r="A43" s="345" t="s">
        <v>15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</row>
    <row r="44" spans="1:12" ht="21" customHeight="1" x14ac:dyDescent="0.4">
      <c r="A44" s="346" t="s">
        <v>28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  <c r="L44" s="346"/>
    </row>
    <row r="45" spans="1:12" ht="21" x14ac:dyDescent="0.4">
      <c r="A45" s="355" t="s">
        <v>46</v>
      </c>
      <c r="B45" s="355"/>
      <c r="C45" s="355"/>
      <c r="D45" s="355"/>
      <c r="E45" s="355"/>
      <c r="F45" s="355"/>
      <c r="G45" s="355"/>
      <c r="H45" s="355"/>
      <c r="I45" s="355"/>
      <c r="J45" s="355"/>
      <c r="K45" s="355"/>
      <c r="L45" s="355"/>
    </row>
    <row r="46" spans="1:12" ht="21" x14ac:dyDescent="0.4">
      <c r="A46" s="350" t="s">
        <v>47</v>
      </c>
      <c r="B46" s="350"/>
      <c r="C46" s="350"/>
      <c r="D46" s="350"/>
      <c r="E46" s="350"/>
      <c r="F46" s="350"/>
      <c r="G46" s="350"/>
      <c r="H46" s="350"/>
      <c r="I46" s="350"/>
      <c r="J46" s="350"/>
      <c r="K46" s="350"/>
      <c r="L46" s="350"/>
    </row>
    <row r="47" spans="1:12" ht="20.25" customHeight="1" x14ac:dyDescent="0.25"/>
  </sheetData>
  <mergeCells count="8">
    <mergeCell ref="A43:L43"/>
    <mergeCell ref="A44:L44"/>
    <mergeCell ref="A45:L45"/>
    <mergeCell ref="A46:L46"/>
    <mergeCell ref="A2:L2"/>
    <mergeCell ref="A3:L3"/>
    <mergeCell ref="A4:L4"/>
    <mergeCell ref="A5:L5"/>
  </mergeCells>
  <phoneticPr fontId="0" type="noConversion"/>
  <pageMargins left="0.46" right="0.41" top="0.26" bottom="0.28999999999999998" header="0" footer="0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B18" sqref="B18:C18"/>
    </sheetView>
  </sheetViews>
  <sheetFormatPr baseColWidth="10" defaultRowHeight="13.2" x14ac:dyDescent="0.25"/>
  <cols>
    <col min="1" max="1" width="43.77734375" customWidth="1"/>
    <col min="2" max="2" width="12.21875" bestFit="1" customWidth="1"/>
    <col min="3" max="3" width="11.77734375" customWidth="1"/>
  </cols>
  <sheetData>
    <row r="1" spans="1:3" x14ac:dyDescent="0.25">
      <c r="A1" t="s">
        <v>40</v>
      </c>
    </row>
    <row r="2" spans="1:3" ht="13.8" thickBot="1" x14ac:dyDescent="0.3">
      <c r="B2">
        <v>2021</v>
      </c>
      <c r="C2">
        <v>2022</v>
      </c>
    </row>
    <row r="3" spans="1:3" x14ac:dyDescent="0.25">
      <c r="A3" s="71" t="s">
        <v>29</v>
      </c>
      <c r="B3" s="19">
        <f>+'Resumen Ingresos'!C10</f>
        <v>817395.6</v>
      </c>
      <c r="C3" s="19">
        <f>+'Resumen Ingresos'!D10</f>
        <v>849900</v>
      </c>
    </row>
    <row r="4" spans="1:3" x14ac:dyDescent="0.25">
      <c r="A4" s="72" t="s">
        <v>30</v>
      </c>
      <c r="B4" s="19">
        <f>+'Resumen Ingresos'!C11</f>
        <v>3231618.7100000004</v>
      </c>
      <c r="C4" s="19">
        <f>+'Resumen Ingresos'!D11</f>
        <v>3341470</v>
      </c>
    </row>
    <row r="5" spans="1:3" x14ac:dyDescent="0.25">
      <c r="A5" s="72" t="s">
        <v>31</v>
      </c>
      <c r="B5" s="19">
        <f>+'Resumen Ingresos'!C12</f>
        <v>379928.27999999997</v>
      </c>
      <c r="C5" s="19">
        <f>+'Resumen Ingresos'!D12</f>
        <v>405755</v>
      </c>
    </row>
    <row r="6" spans="1:3" x14ac:dyDescent="0.25">
      <c r="A6" s="72" t="s">
        <v>32</v>
      </c>
      <c r="B6" s="19">
        <f>+'Resumen Ingresos'!C13</f>
        <v>284520.59000000003</v>
      </c>
      <c r="C6" s="19">
        <f>+'Resumen Ingresos'!D13</f>
        <v>253905</v>
      </c>
    </row>
    <row r="7" spans="1:3" x14ac:dyDescent="0.25">
      <c r="A7" s="72" t="s">
        <v>33</v>
      </c>
      <c r="B7" s="19">
        <f>+'Resumen Ingresos'!C14</f>
        <v>923290.04</v>
      </c>
      <c r="C7" s="19">
        <f>+'Resumen Ingresos'!D14</f>
        <v>375990</v>
      </c>
    </row>
    <row r="8" spans="1:3" x14ac:dyDescent="0.25">
      <c r="B8" s="19">
        <f>SUM(B3:B7)</f>
        <v>5636753.2200000007</v>
      </c>
      <c r="C8" s="19">
        <f>SUM(C3:C7)</f>
        <v>5227020</v>
      </c>
    </row>
    <row r="10" spans="1:3" ht="13.8" thickBot="1" x14ac:dyDescent="0.3">
      <c r="B10">
        <v>2021</v>
      </c>
    </row>
    <row r="11" spans="1:3" x14ac:dyDescent="0.25">
      <c r="A11" s="71" t="s">
        <v>29</v>
      </c>
      <c r="B11" s="19">
        <f>+C3</f>
        <v>849900</v>
      </c>
      <c r="C11" s="181">
        <f>B11/B16</f>
        <v>0.16259742644948746</v>
      </c>
    </row>
    <row r="12" spans="1:3" x14ac:dyDescent="0.25">
      <c r="A12" s="72" t="s">
        <v>30</v>
      </c>
      <c r="B12" s="19">
        <f>+C4</f>
        <v>3341470</v>
      </c>
      <c r="C12" s="181">
        <f>B12/B16</f>
        <v>0.63926864637977276</v>
      </c>
    </row>
    <row r="13" spans="1:3" x14ac:dyDescent="0.25">
      <c r="A13" s="72" t="s">
        <v>31</v>
      </c>
      <c r="B13" s="19">
        <f>+C5</f>
        <v>405755</v>
      </c>
      <c r="C13" s="181">
        <f>B13/B16</f>
        <v>7.7626448722216482E-2</v>
      </c>
    </row>
    <row r="14" spans="1:3" x14ac:dyDescent="0.25">
      <c r="A14" s="72" t="s">
        <v>32</v>
      </c>
      <c r="B14" s="19">
        <f>+C6</f>
        <v>253905</v>
      </c>
      <c r="C14" s="181">
        <f>B14/B16</f>
        <v>4.8575478953591149E-2</v>
      </c>
    </row>
    <row r="15" spans="1:3" x14ac:dyDescent="0.25">
      <c r="A15" s="72" t="s">
        <v>33</v>
      </c>
      <c r="B15" s="19">
        <f>+C7</f>
        <v>375990</v>
      </c>
      <c r="C15" s="181">
        <f>B15/B16</f>
        <v>7.1931999494932106E-2</v>
      </c>
    </row>
    <row r="16" spans="1:3" x14ac:dyDescent="0.25">
      <c r="B16" s="19">
        <f>SUM(B11:B15)</f>
        <v>5227020</v>
      </c>
    </row>
    <row r="17" spans="1:3" x14ac:dyDescent="0.25">
      <c r="B17" s="19"/>
    </row>
    <row r="18" spans="1:3" ht="13.8" thickBot="1" x14ac:dyDescent="0.3">
      <c r="B18">
        <v>2021</v>
      </c>
      <c r="C18">
        <v>2022</v>
      </c>
    </row>
    <row r="19" spans="1:3" x14ac:dyDescent="0.25">
      <c r="A19" s="76" t="s">
        <v>41</v>
      </c>
      <c r="B19" s="19">
        <f>+'Resumen Gastos'!C10</f>
        <v>1135323.4799999997</v>
      </c>
      <c r="C19" s="19">
        <f>+'Resumen Gastos'!D10</f>
        <v>1182864</v>
      </c>
    </row>
    <row r="20" spans="1:3" x14ac:dyDescent="0.25">
      <c r="A20" s="77" t="s">
        <v>42</v>
      </c>
      <c r="B20" s="19">
        <f>+'Resumen Gastos'!C11</f>
        <v>1835010.4300000002</v>
      </c>
      <c r="C20" s="19">
        <f>+'Resumen Gastos'!D11</f>
        <v>1825100</v>
      </c>
    </row>
    <row r="21" spans="1:3" x14ac:dyDescent="0.25">
      <c r="A21" s="77" t="s">
        <v>43</v>
      </c>
      <c r="B21" s="19">
        <f>+'Resumen Gastos'!C12</f>
        <v>373437.99</v>
      </c>
      <c r="C21" s="19">
        <f>+'Resumen Gastos'!D12</f>
        <v>385000</v>
      </c>
    </row>
    <row r="22" spans="1:3" x14ac:dyDescent="0.25">
      <c r="A22" s="77" t="s">
        <v>44</v>
      </c>
      <c r="B22" s="19">
        <f>+'Resumen Gastos'!C13</f>
        <v>214808.25</v>
      </c>
      <c r="C22" s="19">
        <f>+'Resumen Gastos'!D13</f>
        <v>215750</v>
      </c>
    </row>
    <row r="23" spans="1:3" x14ac:dyDescent="0.25">
      <c r="A23" s="77" t="s">
        <v>55</v>
      </c>
      <c r="B23" s="19">
        <f>+'Resumen Gastos'!C14</f>
        <v>548010.56999999995</v>
      </c>
      <c r="C23" s="19">
        <f>+'Resumen Gastos'!D14</f>
        <v>411815</v>
      </c>
    </row>
    <row r="24" spans="1:3" x14ac:dyDescent="0.25">
      <c r="A24" s="78" t="s">
        <v>45</v>
      </c>
      <c r="B24" s="19">
        <f>+'Resumen Gastos'!C15</f>
        <v>1309356.6300000001</v>
      </c>
      <c r="C24" s="19">
        <f>+'Resumen Gastos'!D15</f>
        <v>280985</v>
      </c>
    </row>
    <row r="25" spans="1:3" x14ac:dyDescent="0.25">
      <c r="B25" s="19">
        <f>SUM(B19:B24)</f>
        <v>5415947.3500000006</v>
      </c>
      <c r="C25" s="19">
        <f>SUM(C19:C24)</f>
        <v>4301514</v>
      </c>
    </row>
    <row r="26" spans="1:3" ht="13.8" thickBot="1" x14ac:dyDescent="0.3"/>
    <row r="27" spans="1:3" x14ac:dyDescent="0.25">
      <c r="A27" s="76" t="s">
        <v>41</v>
      </c>
      <c r="B27" s="19">
        <f>+'Resumen Gastos'!D10</f>
        <v>1182864</v>
      </c>
      <c r="C27" s="181">
        <f>B27/B33</f>
        <v>0.27498782986641446</v>
      </c>
    </row>
    <row r="28" spans="1:3" x14ac:dyDescent="0.25">
      <c r="A28" s="77" t="s">
        <v>42</v>
      </c>
      <c r="B28" s="19">
        <f>+'Resumen Gastos'!D11</f>
        <v>1825100</v>
      </c>
      <c r="C28" s="181">
        <f>B28/B33</f>
        <v>0.42429247004659287</v>
      </c>
    </row>
    <row r="29" spans="1:3" x14ac:dyDescent="0.25">
      <c r="A29" s="77" t="s">
        <v>43</v>
      </c>
      <c r="B29" s="19">
        <f>+'Resumen Gastos'!D12</f>
        <v>385000</v>
      </c>
      <c r="C29" s="181">
        <f>B29/B33</f>
        <v>8.9503370208721858E-2</v>
      </c>
    </row>
    <row r="30" spans="1:3" x14ac:dyDescent="0.25">
      <c r="A30" s="77" t="s">
        <v>44</v>
      </c>
      <c r="B30" s="19">
        <f>+'Resumen Gastos'!D13</f>
        <v>215750</v>
      </c>
      <c r="C30" s="181">
        <f>B30/B33</f>
        <v>5.0156758759822707E-2</v>
      </c>
    </row>
    <row r="31" spans="1:3" x14ac:dyDescent="0.25">
      <c r="A31" s="77" t="s">
        <v>55</v>
      </c>
      <c r="B31" s="19">
        <f>+'Resumen Gastos'!D14</f>
        <v>411815</v>
      </c>
      <c r="C31" s="181">
        <f>B31/B33</f>
        <v>9.5737221824687774E-2</v>
      </c>
    </row>
    <row r="32" spans="1:3" x14ac:dyDescent="0.25">
      <c r="A32" s="78" t="s">
        <v>45</v>
      </c>
      <c r="B32" s="19">
        <f>+'Resumen Gastos'!D15</f>
        <v>280985</v>
      </c>
      <c r="C32" s="181">
        <f>B32/B33</f>
        <v>6.5322349293760296E-2</v>
      </c>
    </row>
    <row r="33" spans="1:3" x14ac:dyDescent="0.25">
      <c r="B33" s="19">
        <f>SUM(B27:B32)</f>
        <v>4301514</v>
      </c>
    </row>
    <row r="35" spans="1:3" x14ac:dyDescent="0.25">
      <c r="A35" s="124" t="s">
        <v>53</v>
      </c>
    </row>
    <row r="36" spans="1:3" x14ac:dyDescent="0.25">
      <c r="A36" s="116" t="s">
        <v>51</v>
      </c>
      <c r="B36" s="117">
        <f>B16</f>
        <v>5227020</v>
      </c>
      <c r="C36" s="118">
        <f>B36*166.386</f>
        <v>869702949.72000003</v>
      </c>
    </row>
    <row r="37" spans="1:3" ht="13.8" thickBot="1" x14ac:dyDescent="0.3">
      <c r="A37" s="116" t="s">
        <v>52</v>
      </c>
      <c r="B37" s="119">
        <f>-B33</f>
        <v>-4301514</v>
      </c>
      <c r="C37" s="120">
        <f>B37*166.386</f>
        <v>-715711708.40399992</v>
      </c>
    </row>
    <row r="38" spans="1:3" ht="13.8" thickBot="1" x14ac:dyDescent="0.3">
      <c r="A38" s="121" t="s">
        <v>19</v>
      </c>
      <c r="B38" s="122">
        <f>SUM(B36:B37)</f>
        <v>925506</v>
      </c>
      <c r="C38" s="123">
        <f>B38*166.386</f>
        <v>153991241.31599998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8"/>
  <sheetViews>
    <sheetView workbookViewId="0">
      <selection activeCell="I8" sqref="I8:I38"/>
    </sheetView>
  </sheetViews>
  <sheetFormatPr baseColWidth="10" defaultRowHeight="13.2" x14ac:dyDescent="0.25"/>
  <cols>
    <col min="1" max="1" width="2.77734375" customWidth="1"/>
    <col min="2" max="2" width="61.21875" bestFit="1" customWidth="1"/>
    <col min="3" max="8" width="0" hidden="1" customWidth="1"/>
    <col min="9" max="9" width="18.77734375" customWidth="1"/>
  </cols>
  <sheetData>
    <row r="4" spans="2:9" x14ac:dyDescent="0.25">
      <c r="B4" s="281" t="s">
        <v>216</v>
      </c>
    </row>
    <row r="6" spans="2:9" ht="13.8" thickBot="1" x14ac:dyDescent="0.3"/>
    <row r="7" spans="2:9" ht="16.2" thickBot="1" x14ac:dyDescent="0.3">
      <c r="B7" s="282" t="s">
        <v>54</v>
      </c>
      <c r="C7" s="283">
        <f>SUM(C8:C43)</f>
        <v>112366.16</v>
      </c>
      <c r="D7" s="242"/>
      <c r="E7" s="283">
        <f>SUM(E8:E43)</f>
        <v>149762</v>
      </c>
      <c r="F7" s="214"/>
      <c r="G7" s="283">
        <f>SUM(G8:G43)</f>
        <v>114785.17000000001</v>
      </c>
      <c r="H7" s="208"/>
      <c r="I7" s="283">
        <f>SUM(I8:I43)</f>
        <v>0</v>
      </c>
    </row>
    <row r="8" spans="2:9" ht="13.8" x14ac:dyDescent="0.25">
      <c r="B8" s="284" t="s">
        <v>118</v>
      </c>
      <c r="C8" s="272">
        <v>6786.65</v>
      </c>
      <c r="D8" s="285"/>
      <c r="E8" s="169">
        <v>10000</v>
      </c>
      <c r="F8" s="15"/>
      <c r="G8" s="272">
        <v>11625</v>
      </c>
      <c r="H8" s="286"/>
      <c r="I8" s="169"/>
    </row>
    <row r="9" spans="2:9" ht="13.8" x14ac:dyDescent="0.25">
      <c r="B9" s="2" t="s">
        <v>119</v>
      </c>
      <c r="C9" s="273">
        <v>429.39</v>
      </c>
      <c r="D9" s="239"/>
      <c r="E9" s="172">
        <v>3000</v>
      </c>
      <c r="F9" s="31"/>
      <c r="G9" s="273">
        <v>1645.06</v>
      </c>
      <c r="H9" s="210"/>
      <c r="I9" s="172"/>
    </row>
    <row r="10" spans="2:9" ht="13.8" x14ac:dyDescent="0.25">
      <c r="B10" s="29" t="s">
        <v>120</v>
      </c>
      <c r="C10" s="273">
        <v>667.32</v>
      </c>
      <c r="D10" s="240"/>
      <c r="E10" s="165">
        <v>887</v>
      </c>
      <c r="F10" s="31"/>
      <c r="G10" s="273">
        <v>1212.6199999999999</v>
      </c>
      <c r="H10" s="209"/>
      <c r="I10" s="165"/>
    </row>
    <row r="11" spans="2:9" ht="13.8" x14ac:dyDescent="0.25">
      <c r="B11" s="2" t="s">
        <v>121</v>
      </c>
      <c r="C11" s="273">
        <f>83.68*2</f>
        <v>167.36</v>
      </c>
      <c r="D11" s="239"/>
      <c r="E11" s="172">
        <v>1000</v>
      </c>
      <c r="F11" s="31"/>
      <c r="G11" s="273">
        <v>36</v>
      </c>
      <c r="H11" s="210"/>
      <c r="I11" s="172"/>
    </row>
    <row r="12" spans="2:9" ht="13.8" x14ac:dyDescent="0.25">
      <c r="B12" s="2" t="s">
        <v>122</v>
      </c>
      <c r="C12" s="273">
        <v>1208.1099999999999</v>
      </c>
      <c r="D12" s="239"/>
      <c r="E12" s="172">
        <v>1500</v>
      </c>
      <c r="F12" s="31"/>
      <c r="G12" s="273">
        <v>1114.3</v>
      </c>
      <c r="H12" s="210"/>
      <c r="I12" s="172"/>
    </row>
    <row r="13" spans="2:9" ht="13.8" x14ac:dyDescent="0.25">
      <c r="B13" s="2" t="s">
        <v>123</v>
      </c>
      <c r="C13" s="273">
        <v>1898</v>
      </c>
      <c r="D13" s="239"/>
      <c r="E13" s="172">
        <v>5000</v>
      </c>
      <c r="F13" s="31"/>
      <c r="G13" s="273">
        <v>5277.12</v>
      </c>
      <c r="H13" s="210"/>
      <c r="I13" s="172"/>
    </row>
    <row r="14" spans="2:9" ht="13.8" x14ac:dyDescent="0.25">
      <c r="B14" s="2" t="s">
        <v>124</v>
      </c>
      <c r="C14" s="273">
        <v>366.97</v>
      </c>
      <c r="D14" s="239"/>
      <c r="E14" s="172">
        <v>500</v>
      </c>
      <c r="F14" s="31"/>
      <c r="G14" s="273">
        <v>392.29</v>
      </c>
      <c r="H14" s="210"/>
      <c r="I14" s="172"/>
    </row>
    <row r="15" spans="2:9" ht="13.8" x14ac:dyDescent="0.25">
      <c r="B15" s="2" t="s">
        <v>125</v>
      </c>
      <c r="C15" s="273">
        <v>2000</v>
      </c>
      <c r="D15" s="239"/>
      <c r="E15" s="172">
        <v>2000</v>
      </c>
      <c r="F15" s="31"/>
      <c r="G15" s="273">
        <v>2000</v>
      </c>
      <c r="H15" s="210"/>
      <c r="I15" s="172"/>
    </row>
    <row r="16" spans="2:9" ht="13.8" x14ac:dyDescent="0.25">
      <c r="B16" s="2" t="s">
        <v>126</v>
      </c>
      <c r="C16" s="273">
        <v>0</v>
      </c>
      <c r="D16" s="239"/>
      <c r="E16" s="172">
        <v>2000</v>
      </c>
      <c r="F16" s="31"/>
      <c r="G16" s="273">
        <v>0</v>
      </c>
      <c r="H16" s="210"/>
      <c r="I16" s="172"/>
    </row>
    <row r="17" spans="2:9" ht="13.8" x14ac:dyDescent="0.25">
      <c r="B17" s="2" t="s">
        <v>127</v>
      </c>
      <c r="C17" s="273">
        <v>1240</v>
      </c>
      <c r="D17" s="239"/>
      <c r="E17" s="172">
        <v>2000</v>
      </c>
      <c r="F17" s="31"/>
      <c r="G17" s="273">
        <v>2000</v>
      </c>
      <c r="H17" s="210"/>
      <c r="I17" s="172"/>
    </row>
    <row r="18" spans="2:9" ht="13.8" x14ac:dyDescent="0.25">
      <c r="B18" s="2" t="s">
        <v>128</v>
      </c>
      <c r="C18" s="273">
        <f>18950+283.92+107.94</f>
        <v>19341.859999999997</v>
      </c>
      <c r="D18" s="239"/>
      <c r="E18" s="172">
        <v>18300</v>
      </c>
      <c r="F18" s="31"/>
      <c r="G18" s="273">
        <f>15260.43+2186.58+765.12</f>
        <v>18212.13</v>
      </c>
      <c r="H18" s="210"/>
      <c r="I18" s="172"/>
    </row>
    <row r="19" spans="2:9" ht="13.8" x14ac:dyDescent="0.25">
      <c r="B19" s="2" t="s">
        <v>129</v>
      </c>
      <c r="C19" s="273">
        <v>4437.67</v>
      </c>
      <c r="D19" s="239"/>
      <c r="E19" s="172">
        <v>4290</v>
      </c>
      <c r="F19" s="31"/>
      <c r="G19" s="273">
        <v>4283.8</v>
      </c>
      <c r="H19" s="210"/>
      <c r="I19" s="172"/>
    </row>
    <row r="20" spans="2:9" ht="13.8" x14ac:dyDescent="0.25">
      <c r="B20" s="2" t="s">
        <v>130</v>
      </c>
      <c r="C20" s="273">
        <v>643.82000000000005</v>
      </c>
      <c r="D20" s="239"/>
      <c r="E20" s="172">
        <v>700</v>
      </c>
      <c r="F20" s="31"/>
      <c r="G20" s="273">
        <v>560.12</v>
      </c>
      <c r="H20" s="210"/>
      <c r="I20" s="172"/>
    </row>
    <row r="21" spans="2:9" ht="13.8" x14ac:dyDescent="0.25">
      <c r="B21" s="2" t="s">
        <v>131</v>
      </c>
      <c r="C21" s="273">
        <v>0</v>
      </c>
      <c r="D21" s="239"/>
      <c r="E21" s="172">
        <v>500</v>
      </c>
      <c r="F21" s="31"/>
      <c r="G21" s="273">
        <v>0</v>
      </c>
      <c r="H21" s="210"/>
      <c r="I21" s="172"/>
    </row>
    <row r="22" spans="2:9" ht="13.8" x14ac:dyDescent="0.25">
      <c r="B22" s="2" t="s">
        <v>132</v>
      </c>
      <c r="C22" s="273">
        <v>5000</v>
      </c>
      <c r="D22" s="239"/>
      <c r="E22" s="172">
        <v>6000</v>
      </c>
      <c r="F22" s="31"/>
      <c r="G22" s="273">
        <v>2150</v>
      </c>
      <c r="H22" s="210"/>
      <c r="I22" s="172"/>
    </row>
    <row r="23" spans="2:9" ht="13.8" x14ac:dyDescent="0.25">
      <c r="B23" s="2" t="s">
        <v>133</v>
      </c>
      <c r="C23" s="273">
        <v>0</v>
      </c>
      <c r="D23" s="239"/>
      <c r="E23" s="172">
        <v>500</v>
      </c>
      <c r="F23" s="31"/>
      <c r="G23" s="273">
        <v>500</v>
      </c>
      <c r="H23" s="210"/>
      <c r="I23" s="172"/>
    </row>
    <row r="24" spans="2:9" ht="13.8" x14ac:dyDescent="0.25">
      <c r="B24" s="2" t="s">
        <v>134</v>
      </c>
      <c r="C24" s="273">
        <v>314.08</v>
      </c>
      <c r="D24" s="239"/>
      <c r="E24" s="172">
        <v>2500</v>
      </c>
      <c r="F24" s="31"/>
      <c r="G24" s="273">
        <v>314.08</v>
      </c>
      <c r="H24" s="210"/>
      <c r="I24" s="172"/>
    </row>
    <row r="25" spans="2:9" ht="13.8" x14ac:dyDescent="0.25">
      <c r="B25" s="2" t="s">
        <v>135</v>
      </c>
      <c r="C25" s="273">
        <v>0</v>
      </c>
      <c r="D25" s="239"/>
      <c r="E25" s="172">
        <v>1900</v>
      </c>
      <c r="F25" s="31"/>
      <c r="G25" s="273">
        <v>0</v>
      </c>
      <c r="H25" s="210"/>
      <c r="I25" s="172"/>
    </row>
    <row r="26" spans="2:9" ht="13.8" x14ac:dyDescent="0.25">
      <c r="B26" s="2" t="s">
        <v>136</v>
      </c>
      <c r="C26" s="273">
        <v>0</v>
      </c>
      <c r="D26" s="239"/>
      <c r="E26" s="172">
        <v>500</v>
      </c>
      <c r="F26" s="31"/>
      <c r="G26" s="273">
        <v>0</v>
      </c>
      <c r="H26" s="210"/>
      <c r="I26" s="172"/>
    </row>
    <row r="27" spans="2:9" ht="13.8" x14ac:dyDescent="0.25">
      <c r="B27" s="2" t="s">
        <v>159</v>
      </c>
      <c r="C27" s="273">
        <v>0</v>
      </c>
      <c r="D27" s="239"/>
      <c r="E27" s="172">
        <v>1000</v>
      </c>
      <c r="F27" s="31"/>
      <c r="G27" s="273">
        <v>0</v>
      </c>
      <c r="H27" s="210"/>
      <c r="I27" s="172"/>
    </row>
    <row r="28" spans="2:9" ht="13.8" x14ac:dyDescent="0.25">
      <c r="B28" s="2" t="s">
        <v>175</v>
      </c>
      <c r="C28" s="273">
        <v>800</v>
      </c>
      <c r="D28" s="239"/>
      <c r="E28" s="172">
        <v>2000</v>
      </c>
      <c r="F28" s="31"/>
      <c r="G28" s="273">
        <v>1450</v>
      </c>
      <c r="H28" s="210"/>
      <c r="I28" s="172"/>
    </row>
    <row r="29" spans="2:9" ht="13.8" x14ac:dyDescent="0.25">
      <c r="B29" s="2" t="s">
        <v>176</v>
      </c>
      <c r="C29" s="273">
        <v>900</v>
      </c>
      <c r="D29" s="239"/>
      <c r="E29" s="172">
        <v>900</v>
      </c>
      <c r="F29" s="31"/>
      <c r="G29" s="273">
        <v>900</v>
      </c>
      <c r="H29" s="210"/>
      <c r="I29" s="172"/>
    </row>
    <row r="30" spans="2:9" ht="13.8" x14ac:dyDescent="0.25">
      <c r="B30" s="2" t="s">
        <v>177</v>
      </c>
      <c r="C30" s="273">
        <v>900</v>
      </c>
      <c r="D30" s="239"/>
      <c r="E30" s="172">
        <v>900</v>
      </c>
      <c r="F30" s="31"/>
      <c r="G30" s="273">
        <v>900</v>
      </c>
      <c r="H30" s="210"/>
      <c r="I30" s="172"/>
    </row>
    <row r="31" spans="2:9" ht="13.8" x14ac:dyDescent="0.25">
      <c r="B31" s="2" t="s">
        <v>178</v>
      </c>
      <c r="C31" s="273">
        <v>900</v>
      </c>
      <c r="D31" s="239"/>
      <c r="E31" s="172">
        <v>900</v>
      </c>
      <c r="F31" s="31"/>
      <c r="G31" s="273">
        <v>900</v>
      </c>
      <c r="H31" s="210"/>
      <c r="I31" s="172"/>
    </row>
    <row r="32" spans="2:9" ht="13.8" x14ac:dyDescent="0.25">
      <c r="B32" s="2" t="s">
        <v>179</v>
      </c>
      <c r="C32" s="273">
        <v>900</v>
      </c>
      <c r="D32" s="239"/>
      <c r="E32" s="172">
        <v>900</v>
      </c>
      <c r="F32" s="31"/>
      <c r="G32" s="273">
        <v>900</v>
      </c>
      <c r="H32" s="210"/>
      <c r="I32" s="172"/>
    </row>
    <row r="33" spans="2:9" ht="13.8" x14ac:dyDescent="0.25">
      <c r="B33" s="2" t="s">
        <v>180</v>
      </c>
      <c r="C33" s="273">
        <v>0</v>
      </c>
      <c r="D33" s="239"/>
      <c r="E33" s="172">
        <v>0</v>
      </c>
      <c r="F33" s="31"/>
      <c r="G33" s="273">
        <v>0</v>
      </c>
      <c r="H33" s="210"/>
      <c r="I33" s="172"/>
    </row>
    <row r="34" spans="2:9" ht="13.8" x14ac:dyDescent="0.25">
      <c r="B34" s="2" t="s">
        <v>181</v>
      </c>
      <c r="C34" s="273">
        <v>900</v>
      </c>
      <c r="D34" s="239"/>
      <c r="E34" s="172">
        <v>900</v>
      </c>
      <c r="F34" s="31"/>
      <c r="G34" s="273">
        <v>900</v>
      </c>
      <c r="H34" s="210"/>
      <c r="I34" s="172"/>
    </row>
    <row r="35" spans="2:9" ht="13.8" x14ac:dyDescent="0.25">
      <c r="B35" s="2" t="s">
        <v>182</v>
      </c>
      <c r="C35" s="273">
        <v>0</v>
      </c>
      <c r="D35" s="239"/>
      <c r="E35" s="172">
        <v>900</v>
      </c>
      <c r="F35" s="31"/>
      <c r="G35" s="273">
        <v>0</v>
      </c>
      <c r="H35" s="210"/>
      <c r="I35" s="172"/>
    </row>
    <row r="36" spans="2:9" ht="13.8" x14ac:dyDescent="0.25">
      <c r="B36" s="2" t="s">
        <v>183</v>
      </c>
      <c r="C36" s="273">
        <f>7945.43+41272.18+13347.32</f>
        <v>62564.93</v>
      </c>
      <c r="D36" s="239"/>
      <c r="E36" s="172">
        <v>78285</v>
      </c>
      <c r="F36" s="31"/>
      <c r="G36" s="273">
        <f>6856.54+41529.97+9126.14</f>
        <v>57512.65</v>
      </c>
      <c r="H36" s="210"/>
      <c r="I36" s="172"/>
    </row>
    <row r="37" spans="2:9" ht="13.8" x14ac:dyDescent="0.25">
      <c r="B37" s="6" t="s">
        <v>185</v>
      </c>
      <c r="C37" s="287"/>
      <c r="D37" s="287"/>
      <c r="E37" s="287"/>
      <c r="F37" s="287"/>
      <c r="G37" s="287"/>
      <c r="H37" s="287"/>
      <c r="I37" s="172"/>
    </row>
    <row r="38" spans="2:9" ht="14.4" thickBot="1" x14ac:dyDescent="0.3">
      <c r="B38" s="288" t="s">
        <v>187</v>
      </c>
      <c r="C38" s="289"/>
      <c r="D38" s="289"/>
      <c r="E38" s="289"/>
      <c r="F38" s="289"/>
      <c r="G38" s="289"/>
      <c r="H38" s="289"/>
      <c r="I38" s="173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Ingresos</vt:lpstr>
      <vt:lpstr>Resumen Ingresos</vt:lpstr>
      <vt:lpstr>Estadísiticas Ingresos</vt:lpstr>
      <vt:lpstr>Gastos </vt:lpstr>
      <vt:lpstr>Resumen Gastos</vt:lpstr>
      <vt:lpstr>Estadísiticas Gastos</vt:lpstr>
      <vt:lpstr>Datos Gráficos</vt:lpstr>
      <vt:lpstr>Secretariados</vt:lpstr>
      <vt:lpstr>'Gastos '!Títulos_a_imprimir</vt:lpstr>
      <vt:lpstr>Ingresos!Títulos_a_imprimir</vt:lpstr>
    </vt:vector>
  </TitlesOfParts>
  <Company>OBISPADO DE CANARIAS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OBISPADO DE CANARIAS</dc:creator>
  <cp:lastModifiedBy>ECONOMO DIOCESIS DE CANARIAS</cp:lastModifiedBy>
  <cp:lastPrinted>2022-02-17T09:40:21Z</cp:lastPrinted>
  <dcterms:created xsi:type="dcterms:W3CDTF">2001-12-10T17:13:30Z</dcterms:created>
  <dcterms:modified xsi:type="dcterms:W3CDTF">2023-07-28T11:41:52Z</dcterms:modified>
</cp:coreProperties>
</file>